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WCPC\Accounts\April 2025 to March 2026\"/>
    </mc:Choice>
  </mc:AlternateContent>
  <xr:revisionPtr revIDLastSave="0" documentId="13_ncr:1_{62A2F493-D99F-456C-B9E5-AEBD3EA546CB}" xr6:coauthVersionLast="47" xr6:coauthVersionMax="47" xr10:uidLastSave="{00000000-0000-0000-0000-000000000000}"/>
  <bookViews>
    <workbookView xWindow="24" yWindow="384" windowWidth="23016" windowHeight="12336" firstSheet="8" activeTab="14" xr2:uid="{00000000-000D-0000-FFFF-FFFF00000000}"/>
  </bookViews>
  <sheets>
    <sheet name="WFH Allowance" sheetId="14" r:id="rId1"/>
    <sheet name="Budget 2024 25" sheetId="21" r:id="rId2"/>
    <sheet name="Precept Form 24 25" sheetId="25" r:id="rId3"/>
    <sheet name="Precept workings" sheetId="1" r:id="rId4"/>
    <sheet name="PWLB Loan" sheetId="16" r:id="rId5"/>
    <sheet name="New Pavilion" sheetId="6" r:id="rId6"/>
    <sheet name="Grants" sheetId="5" r:id="rId7"/>
    <sheet name="Asset Register" sheetId="11" r:id="rId8"/>
    <sheet name="Accruals" sheetId="8" r:id="rId9"/>
    <sheet name="Payments List" sheetId="26" r:id="rId10"/>
    <sheet name="Budget YTD 2025 26" sheetId="13" r:id="rId11"/>
    <sheet name="Current Account" sheetId="3" r:id="rId12"/>
    <sheet name="Deposit" sheetId="4" r:id="rId13"/>
    <sheet name="P&amp;L" sheetId="9" r:id="rId14"/>
    <sheet name="Balance Sheet" sheetId="10" r:id="rId15"/>
    <sheet name="UT Bank" sheetId="27" r:id="rId16"/>
    <sheet name="Bank Rec" sheetId="7" r:id="rId17"/>
    <sheet name="VAT CLAIM 1" sheetId="18" r:id="rId18"/>
    <sheet name="New Play Equipment" sheetId="17" r:id="rId19"/>
    <sheet name="PWLB Accruals" sheetId="22" r:id="rId20"/>
    <sheet name="Reimbursement claims" sheetId="12" r:id="rId21"/>
  </sheets>
  <externalReferences>
    <externalReference r:id="rId22"/>
    <externalReference r:id="rId23"/>
    <externalReference r:id="rId24"/>
    <externalReference r:id="rId25"/>
  </externalReferences>
  <definedNames>
    <definedName name="_xlnm.Print_Area" localSheetId="7">'Asset Register'!$B$3:$J$79</definedName>
    <definedName name="_xlnm.Print_Area" localSheetId="14">'Balance Sheet'!$A$1:$I$44</definedName>
    <definedName name="_xlnm.Print_Area" localSheetId="16">'Bank Rec'!$B$1:$G$43</definedName>
    <definedName name="_xlnm.Print_Area" localSheetId="1">'Budget 2024 25'!$BR$37:$BV$61</definedName>
    <definedName name="_xlnm.Print_Area" localSheetId="10">'Budget YTD 2025 26'!$A$1:$CB$46</definedName>
    <definedName name="_xlnm.Print_Area" localSheetId="12">Deposit!$A$1:$H$41</definedName>
    <definedName name="_xlnm.Print_Area" localSheetId="6">Grants!$A$21:$AF$48</definedName>
    <definedName name="_xlnm.Print_Area" localSheetId="13">'P&amp;L'!$A$1:$D$51</definedName>
    <definedName name="_xlnm.Print_Area" localSheetId="9">'Payments List'!$B$4:$H$19</definedName>
    <definedName name="_xlnm.Print_Area" localSheetId="2">'Precept Form 24 25'!$A$1:$P$391</definedName>
    <definedName name="_xlnm.Print_Area" localSheetId="3">'Precept workings'!$A$2:$W$13</definedName>
    <definedName name="_xlnm.Print_Area" localSheetId="20">'Reimbursement claims'!$A$2:$M$12</definedName>
    <definedName name="_xlnm.Print_Area" localSheetId="15">'UT Bank'!$B$2:$H$26</definedName>
    <definedName name="_xlnm.Print_Area" localSheetId="0">'WFH Allowance'!$A$1:$O$25</definedName>
    <definedName name="_xlnm.Print_Titles" localSheetId="1">'Budget 2024 25'!$1:$2</definedName>
    <definedName name="_xlnm.Print_Titles" localSheetId="11">'Current Account'!$F:$F,'Current Account'!$2:$2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9" l="1"/>
  <c r="D35" i="9"/>
  <c r="H26" i="10"/>
  <c r="I33" i="10" s="1"/>
  <c r="D49" i="9"/>
  <c r="D38" i="9"/>
  <c r="D27" i="9"/>
  <c r="D26" i="9"/>
  <c r="CQ4" i="13"/>
  <c r="CA45" i="13"/>
  <c r="CA43" i="13"/>
  <c r="CR21" i="13"/>
  <c r="AA73" i="18"/>
  <c r="Z73" i="18"/>
  <c r="Y73" i="18"/>
  <c r="X73" i="18"/>
  <c r="W73" i="18"/>
  <c r="V73" i="18"/>
  <c r="U73" i="18"/>
  <c r="T73" i="18"/>
  <c r="S73" i="18"/>
  <c r="AA74" i="18"/>
  <c r="R73" i="18"/>
  <c r="Q73" i="18"/>
  <c r="P73" i="18"/>
  <c r="O73" i="18"/>
  <c r="N73" i="18"/>
  <c r="M73" i="18"/>
  <c r="L73" i="18"/>
  <c r="K73" i="18"/>
  <c r="J73" i="18"/>
  <c r="I73" i="18"/>
  <c r="F73" i="18"/>
  <c r="H38" i="18"/>
  <c r="H53" i="18"/>
  <c r="H42" i="18"/>
  <c r="H68" i="18"/>
  <c r="H37" i="18"/>
  <c r="H67" i="18"/>
  <c r="H3" i="18"/>
  <c r="H36" i="18"/>
  <c r="H70" i="18"/>
  <c r="H16" i="18"/>
  <c r="H17" i="18"/>
  <c r="H26" i="18"/>
  <c r="H66" i="18"/>
  <c r="H35" i="18"/>
  <c r="H72" i="18"/>
  <c r="H9" i="18"/>
  <c r="H54" i="18"/>
  <c r="H25" i="18"/>
  <c r="H65" i="18"/>
  <c r="H34" i="18"/>
  <c r="H33" i="18"/>
  <c r="H8" i="18"/>
  <c r="H48" i="18"/>
  <c r="H47" i="18"/>
  <c r="H12" i="18"/>
  <c r="H52" i="18"/>
  <c r="H39" i="18"/>
  <c r="H64" i="18"/>
  <c r="H7" i="18"/>
  <c r="H44" i="18"/>
  <c r="H40" i="18"/>
  <c r="H24" i="18"/>
  <c r="H19" i="18"/>
  <c r="H63" i="18"/>
  <c r="H32" i="18"/>
  <c r="H51" i="18"/>
  <c r="H71" i="18"/>
  <c r="H50" i="18"/>
  <c r="H62" i="18"/>
  <c r="H31" i="18"/>
  <c r="H20" i="18"/>
  <c r="H10" i="18"/>
  <c r="H30" i="18"/>
  <c r="H6" i="18"/>
  <c r="H45" i="18"/>
  <c r="H23" i="18"/>
  <c r="H15" i="18"/>
  <c r="H14" i="18"/>
  <c r="H13" i="18"/>
  <c r="H46" i="18"/>
  <c r="H60" i="18"/>
  <c r="H55" i="18"/>
  <c r="H61" i="18"/>
  <c r="H43" i="18"/>
  <c r="H29" i="18"/>
  <c r="H49" i="18"/>
  <c r="H22" i="18"/>
  <c r="H69" i="18"/>
  <c r="H5" i="18"/>
  <c r="H18" i="18"/>
  <c r="H59" i="18"/>
  <c r="H28" i="18"/>
  <c r="H27" i="18"/>
  <c r="H4" i="18"/>
  <c r="H57" i="18"/>
  <c r="H21" i="18"/>
  <c r="H58" i="18"/>
  <c r="H11" i="18"/>
  <c r="H41" i="18"/>
  <c r="H56" i="18"/>
  <c r="I79" i="11"/>
  <c r="J79" i="11"/>
  <c r="H79" i="11"/>
  <c r="F79" i="11"/>
  <c r="AR15" i="8"/>
  <c r="AS15" i="8"/>
  <c r="D15" i="9"/>
  <c r="D19" i="9"/>
  <c r="C44" i="10"/>
  <c r="B26" i="10"/>
  <c r="C33" i="10" s="1"/>
  <c r="C16" i="10"/>
  <c r="C37" i="10" s="1"/>
  <c r="A26" i="9"/>
  <c r="A25" i="9"/>
  <c r="A49" i="9" s="1"/>
  <c r="A19" i="9"/>
  <c r="A51" i="9" s="1"/>
  <c r="K177" i="3"/>
  <c r="K178" i="3"/>
  <c r="K179" i="3"/>
  <c r="K180" i="3"/>
  <c r="K181" i="3"/>
  <c r="K182" i="3"/>
  <c r="K183" i="3"/>
  <c r="AO184" i="3"/>
  <c r="AP184" i="3"/>
  <c r="AQ184" i="3"/>
  <c r="AR184" i="3"/>
  <c r="AS184" i="3"/>
  <c r="AT184" i="3"/>
  <c r="AU184" i="3"/>
  <c r="AV184" i="3"/>
  <c r="AW184" i="3"/>
  <c r="AX184" i="3"/>
  <c r="AY184" i="3"/>
  <c r="CA18" i="13"/>
  <c r="CA37" i="13"/>
  <c r="CA41" i="13" s="1"/>
  <c r="G20" i="26"/>
  <c r="F20" i="26"/>
  <c r="G7" i="26"/>
  <c r="G168" i="3"/>
  <c r="K148" i="3"/>
  <c r="K164" i="3"/>
  <c r="K165" i="3"/>
  <c r="K167" i="3"/>
  <c r="K168" i="3"/>
  <c r="K169" i="3"/>
  <c r="K170" i="3"/>
  <c r="K171" i="3"/>
  <c r="K172" i="3"/>
  <c r="K173" i="3"/>
  <c r="K174" i="3"/>
  <c r="K175" i="3"/>
  <c r="K176" i="3"/>
  <c r="G156" i="3"/>
  <c r="K155" i="3"/>
  <c r="K156" i="3"/>
  <c r="K157" i="3"/>
  <c r="K158" i="3"/>
  <c r="K159" i="3"/>
  <c r="K160" i="3"/>
  <c r="K161" i="3"/>
  <c r="K162" i="3"/>
  <c r="K163" i="3"/>
  <c r="F21" i="7"/>
  <c r="F15" i="7"/>
  <c r="G21" i="7" s="1"/>
  <c r="G25" i="7" s="1"/>
  <c r="H73" i="18" l="1"/>
  <c r="G141" i="3"/>
  <c r="K141" i="3"/>
  <c r="K142" i="3"/>
  <c r="K143" i="3"/>
  <c r="K144" i="3"/>
  <c r="K145" i="3"/>
  <c r="K146" i="3"/>
  <c r="K147" i="3"/>
  <c r="K149" i="3"/>
  <c r="K150" i="3"/>
  <c r="K151" i="3"/>
  <c r="K152" i="3"/>
  <c r="K153" i="3"/>
  <c r="AE184" i="3"/>
  <c r="BW31" i="13" s="1"/>
  <c r="AC45" i="5" l="1"/>
  <c r="AD45" i="5"/>
  <c r="AF45" i="5"/>
  <c r="AE45" i="5"/>
  <c r="G127" i="3" l="1"/>
  <c r="K125" i="3"/>
  <c r="K126" i="3"/>
  <c r="K127" i="3"/>
  <c r="K128" i="3"/>
  <c r="K129" i="3"/>
  <c r="K130" i="3"/>
  <c r="K131" i="3"/>
  <c r="K132" i="3"/>
  <c r="K133" i="3"/>
  <c r="K123" i="3"/>
  <c r="K124" i="3"/>
  <c r="K134" i="3"/>
  <c r="K135" i="3"/>
  <c r="K136" i="3"/>
  <c r="K137" i="3"/>
  <c r="K138" i="3"/>
  <c r="K139" i="3"/>
  <c r="K140" i="3"/>
  <c r="BU46" i="13"/>
  <c r="BY24" i="13" l="1"/>
  <c r="BZ24" i="13" s="1"/>
  <c r="CB19" i="13"/>
  <c r="BY19" i="13"/>
  <c r="BZ19" i="13" s="1"/>
  <c r="CR26" i="13"/>
  <c r="CB33" i="13"/>
  <c r="CB8" i="13"/>
  <c r="BY5" i="13"/>
  <c r="BZ6" i="13"/>
  <c r="BZ7" i="13"/>
  <c r="BZ10" i="13"/>
  <c r="BZ11" i="13"/>
  <c r="BZ12" i="13"/>
  <c r="BZ13" i="13"/>
  <c r="BZ15" i="13"/>
  <c r="CB15" i="13" s="1"/>
  <c r="BZ16" i="13"/>
  <c r="CB16" i="13" s="1"/>
  <c r="BZ17" i="13"/>
  <c r="BZ18" i="13"/>
  <c r="BZ21" i="13"/>
  <c r="BZ22" i="13"/>
  <c r="BZ23" i="13"/>
  <c r="BZ25" i="13"/>
  <c r="BZ28" i="13"/>
  <c r="BZ29" i="13"/>
  <c r="BZ32" i="13"/>
  <c r="BZ34" i="13"/>
  <c r="BZ35" i="13"/>
  <c r="BZ36" i="13"/>
  <c r="BY33" i="13"/>
  <c r="BZ33" i="13" s="1"/>
  <c r="BY30" i="13"/>
  <c r="BZ30" i="13" s="1"/>
  <c r="BY27" i="13"/>
  <c r="BZ27" i="13" s="1"/>
  <c r="BY26" i="13"/>
  <c r="BZ26" i="13" s="1"/>
  <c r="BY20" i="13"/>
  <c r="BZ20" i="13" s="1"/>
  <c r="BY14" i="13"/>
  <c r="BZ14" i="13" s="1"/>
  <c r="BZ5" i="13" l="1"/>
  <c r="BY8" i="13"/>
  <c r="BZ8" i="13" s="1"/>
  <c r="CB37" i="13"/>
  <c r="CR2" i="13" s="1"/>
  <c r="G115" i="3"/>
  <c r="G107" i="3"/>
  <c r="K118" i="3"/>
  <c r="K119" i="3"/>
  <c r="K120" i="3"/>
  <c r="K121" i="3"/>
  <c r="K122" i="3"/>
  <c r="K105" i="3"/>
  <c r="K106" i="3"/>
  <c r="K107" i="3"/>
  <c r="K108" i="3"/>
  <c r="K109" i="3"/>
  <c r="K110" i="3"/>
  <c r="K111" i="3"/>
  <c r="K112" i="3"/>
  <c r="K113" i="3"/>
  <c r="K114" i="3"/>
  <c r="K115" i="3"/>
  <c r="K116" i="3"/>
  <c r="K117" i="3"/>
  <c r="K92" i="3" l="1"/>
  <c r="G93" i="3"/>
  <c r="K93" i="3"/>
  <c r="K94" i="3"/>
  <c r="G95" i="3"/>
  <c r="K95" i="3"/>
  <c r="K96" i="3"/>
  <c r="K97" i="3"/>
  <c r="K98" i="3"/>
  <c r="G99" i="3"/>
  <c r="K99" i="3"/>
  <c r="AL184" i="3" l="1"/>
  <c r="CA44" i="13" s="1"/>
  <c r="CA46" i="13" s="1"/>
  <c r="K90" i="3"/>
  <c r="K91" i="3"/>
  <c r="K100" i="3"/>
  <c r="K101" i="3"/>
  <c r="K102" i="3"/>
  <c r="K103" i="3"/>
  <c r="K77" i="3"/>
  <c r="G86" i="3"/>
  <c r="G81" i="3"/>
  <c r="G9" i="27"/>
  <c r="G10" i="27" s="1"/>
  <c r="G11" i="27" s="1"/>
  <c r="G12" i="27" s="1"/>
  <c r="G13" i="27" s="1"/>
  <c r="G8" i="27"/>
  <c r="G7" i="27"/>
  <c r="D14" i="27"/>
  <c r="K71" i="3"/>
  <c r="K72" i="3"/>
  <c r="K73" i="3"/>
  <c r="K74" i="3"/>
  <c r="K75" i="3"/>
  <c r="K76" i="3"/>
  <c r="K78" i="3"/>
  <c r="K79" i="3"/>
  <c r="K80" i="3"/>
  <c r="K81" i="3"/>
  <c r="K82" i="3"/>
  <c r="K83" i="3"/>
  <c r="K84" i="3"/>
  <c r="K85" i="3"/>
  <c r="K86" i="3"/>
  <c r="K87" i="3"/>
  <c r="K67" i="3" l="1"/>
  <c r="K68" i="3"/>
  <c r="K69" i="3"/>
  <c r="K70" i="3"/>
  <c r="K88" i="3"/>
  <c r="G66" i="3" l="1"/>
  <c r="G20" i="27"/>
  <c r="K48" i="3"/>
  <c r="K49" i="3"/>
  <c r="K50" i="3"/>
  <c r="G51" i="3"/>
  <c r="K51" i="3"/>
  <c r="K52" i="3"/>
  <c r="K53" i="3"/>
  <c r="K54" i="3"/>
  <c r="K55" i="3"/>
  <c r="G56" i="3"/>
  <c r="K56" i="3"/>
  <c r="K57" i="3"/>
  <c r="K58" i="3"/>
  <c r="K59" i="3"/>
  <c r="K60" i="3"/>
  <c r="K61" i="3"/>
  <c r="K62" i="3"/>
  <c r="G63" i="3"/>
  <c r="K63" i="3"/>
  <c r="K64" i="3"/>
  <c r="K65" i="3"/>
  <c r="K66" i="3"/>
  <c r="G32" i="7" l="1"/>
  <c r="F25" i="27"/>
  <c r="E25" i="27"/>
  <c r="G21" i="27"/>
  <c r="G22" i="27" s="1"/>
  <c r="G23" i="27" s="1"/>
  <c r="G24" i="27" s="1"/>
  <c r="G25" i="27" s="1"/>
  <c r="F14" i="27"/>
  <c r="E14" i="27"/>
  <c r="G14" i="27"/>
  <c r="K32" i="3" l="1"/>
  <c r="K33" i="3"/>
  <c r="G34" i="3"/>
  <c r="K34" i="3"/>
  <c r="K35" i="3"/>
  <c r="K36" i="3"/>
  <c r="K37" i="3"/>
  <c r="K38" i="3"/>
  <c r="K39" i="3"/>
  <c r="K40" i="3"/>
  <c r="K41" i="3"/>
  <c r="K42" i="3"/>
  <c r="I3" i="3"/>
  <c r="K31" i="3"/>
  <c r="K43" i="3" l="1"/>
  <c r="K44" i="3"/>
  <c r="K45" i="3"/>
  <c r="K46" i="3"/>
  <c r="K47" i="3"/>
  <c r="K27" i="3"/>
  <c r="K28" i="3"/>
  <c r="K29" i="3"/>
  <c r="K30" i="3"/>
  <c r="K89" i="3"/>
  <c r="F9" i="14" l="1"/>
  <c r="F20" i="14"/>
  <c r="F19" i="14"/>
  <c r="F18" i="14"/>
  <c r="CT64" i="13"/>
  <c r="CR64" i="13"/>
  <c r="CM64" i="13"/>
  <c r="CL63" i="13"/>
  <c r="CL64" i="13" s="1"/>
  <c r="BX37" i="13"/>
  <c r="BT37" i="13"/>
  <c r="BT46" i="13" s="1"/>
  <c r="BQ37" i="13"/>
  <c r="BH37" i="13"/>
  <c r="BG37" i="13"/>
  <c r="BE37" i="13"/>
  <c r="BD37" i="13"/>
  <c r="BC37" i="13"/>
  <c r="AY37" i="13"/>
  <c r="AW37" i="13"/>
  <c r="AU37" i="13"/>
  <c r="AS37" i="13"/>
  <c r="AQ37" i="13"/>
  <c r="AI37" i="13"/>
  <c r="AH37" i="13"/>
  <c r="AB37" i="13"/>
  <c r="AA37" i="13"/>
  <c r="Y37" i="13"/>
  <c r="T37" i="13"/>
  <c r="Q37" i="13"/>
  <c r="O37" i="13"/>
  <c r="N37" i="13"/>
  <c r="M37" i="13"/>
  <c r="K37" i="13"/>
  <c r="J37" i="13"/>
  <c r="I37" i="13"/>
  <c r="H37" i="13"/>
  <c r="G37" i="13"/>
  <c r="F37" i="13"/>
  <c r="E37" i="13"/>
  <c r="D37" i="13"/>
  <c r="C37" i="13"/>
  <c r="B37" i="13"/>
  <c r="BS36" i="13"/>
  <c r="BJ36" i="13"/>
  <c r="BS35" i="13"/>
  <c r="BJ35" i="13"/>
  <c r="BS34" i="13"/>
  <c r="BJ34" i="13"/>
  <c r="BU32" i="13"/>
  <c r="BS32" i="13"/>
  <c r="BM32" i="13"/>
  <c r="BJ32" i="13"/>
  <c r="BF32" i="13"/>
  <c r="AZ32" i="13"/>
  <c r="BU30" i="13"/>
  <c r="BS30" i="13"/>
  <c r="BF30" i="13"/>
  <c r="BA30" i="13"/>
  <c r="BU29" i="13"/>
  <c r="BS29" i="13"/>
  <c r="BM29" i="13"/>
  <c r="BJ29" i="13"/>
  <c r="BF29" i="13"/>
  <c r="BA29" i="13"/>
  <c r="BS28" i="13"/>
  <c r="BJ28" i="13"/>
  <c r="AN28" i="13"/>
  <c r="P28" i="13"/>
  <c r="R28" i="13" s="1"/>
  <c r="BU27" i="13"/>
  <c r="BR27" i="13"/>
  <c r="BS27" i="13" s="1"/>
  <c r="BL27" i="13"/>
  <c r="BM27" i="13" s="1"/>
  <c r="BJ27" i="13"/>
  <c r="AZ27" i="13"/>
  <c r="BA27" i="13" s="1"/>
  <c r="AX27" i="13"/>
  <c r="AV27" i="13"/>
  <c r="AT27" i="13"/>
  <c r="CJ26" i="13"/>
  <c r="BU26" i="13"/>
  <c r="BR26" i="13"/>
  <c r="BS26" i="13" s="1"/>
  <c r="BL26" i="13"/>
  <c r="BM26" i="13" s="1"/>
  <c r="BJ26" i="13"/>
  <c r="AZ26" i="13"/>
  <c r="BA26" i="13" s="1"/>
  <c r="AX26" i="13"/>
  <c r="AV26" i="13"/>
  <c r="AT26" i="13"/>
  <c r="AN26" i="13"/>
  <c r="AO26" i="13" s="1"/>
  <c r="AL26" i="13"/>
  <c r="AJ26" i="13"/>
  <c r="AG26" i="13"/>
  <c r="AC26" i="13"/>
  <c r="U26" i="13"/>
  <c r="P26" i="13"/>
  <c r="R26" i="13" s="1"/>
  <c r="S26" i="13" s="1"/>
  <c r="H26" i="13"/>
  <c r="BS25" i="13"/>
  <c r="BM25" i="13"/>
  <c r="BJ25" i="13"/>
  <c r="AT25" i="13"/>
  <c r="AN25" i="13"/>
  <c r="AO25" i="13" s="1"/>
  <c r="AL25" i="13"/>
  <c r="AJ25" i="13"/>
  <c r="AG25" i="13"/>
  <c r="AC25" i="13"/>
  <c r="Z25" i="13"/>
  <c r="X25" i="13"/>
  <c r="V25" i="13"/>
  <c r="P25" i="13"/>
  <c r="R25" i="13" s="1"/>
  <c r="S25" i="13" s="1"/>
  <c r="CJ24" i="13"/>
  <c r="BR24" i="13"/>
  <c r="BS24" i="13" s="1"/>
  <c r="BN24" i="13"/>
  <c r="BO24" i="13" s="1"/>
  <c r="BM24" i="13"/>
  <c r="BI24" i="13"/>
  <c r="BJ24" i="13" s="1"/>
  <c r="BF24" i="13"/>
  <c r="AZ24" i="13"/>
  <c r="BA24" i="13" s="1"/>
  <c r="AX24" i="13"/>
  <c r="AV24" i="13"/>
  <c r="AT24" i="13"/>
  <c r="AM24" i="13"/>
  <c r="AN24" i="13" s="1"/>
  <c r="AO24" i="13" s="1"/>
  <c r="AL24" i="13"/>
  <c r="AJ24" i="13"/>
  <c r="AG24" i="13"/>
  <c r="AC24" i="13"/>
  <c r="Z24" i="13"/>
  <c r="W24" i="13"/>
  <c r="X24" i="13" s="1"/>
  <c r="U24" i="13"/>
  <c r="V24" i="13" s="1"/>
  <c r="P24" i="13"/>
  <c r="R24" i="13" s="1"/>
  <c r="S24" i="13" s="1"/>
  <c r="BS23" i="13"/>
  <c r="BJ23" i="13"/>
  <c r="AN23" i="13"/>
  <c r="Z23" i="13"/>
  <c r="X23" i="13"/>
  <c r="V23" i="13"/>
  <c r="P23" i="13"/>
  <c r="R23" i="13" s="1"/>
  <c r="S23" i="13" s="1"/>
  <c r="L23" i="13"/>
  <c r="BU22" i="13"/>
  <c r="BS22" i="13"/>
  <c r="BL22" i="13"/>
  <c r="BF22" i="13" s="1"/>
  <c r="BJ22" i="13"/>
  <c r="AZ22" i="13"/>
  <c r="BA22" i="13" s="1"/>
  <c r="AX22" i="13"/>
  <c r="AV22" i="13"/>
  <c r="AT22" i="13"/>
  <c r="AN22" i="13"/>
  <c r="AO22" i="13" s="1"/>
  <c r="AL22" i="13"/>
  <c r="AJ22" i="13"/>
  <c r="AG22" i="13"/>
  <c r="AC22" i="13"/>
  <c r="Z22" i="13"/>
  <c r="X22" i="13"/>
  <c r="V22" i="13"/>
  <c r="P22" i="13"/>
  <c r="R22" i="13" s="1"/>
  <c r="S22" i="13" s="1"/>
  <c r="BS21" i="13"/>
  <c r="BJ21" i="13"/>
  <c r="AN21" i="13"/>
  <c r="P21" i="13"/>
  <c r="R21" i="13" s="1"/>
  <c r="BU20" i="13"/>
  <c r="BS20" i="13"/>
  <c r="BL20" i="13"/>
  <c r="BM20" i="13" s="1"/>
  <c r="BI20" i="13"/>
  <c r="BJ20" i="13" s="1"/>
  <c r="AZ20" i="13"/>
  <c r="BA20" i="13" s="1"/>
  <c r="AX20" i="13"/>
  <c r="AV20" i="13"/>
  <c r="AT20" i="13"/>
  <c r="AN20" i="13"/>
  <c r="AO20" i="13" s="1"/>
  <c r="AL20" i="13"/>
  <c r="AJ20" i="13"/>
  <c r="AF20" i="13"/>
  <c r="AG20" i="13" s="1"/>
  <c r="AC20" i="13"/>
  <c r="Z20" i="13"/>
  <c r="X20" i="13"/>
  <c r="V20" i="13"/>
  <c r="P20" i="13"/>
  <c r="R20" i="13" s="1"/>
  <c r="S20" i="13" s="1"/>
  <c r="L20" i="13"/>
  <c r="BU19" i="13"/>
  <c r="BR19" i="13"/>
  <c r="BS19" i="13" s="1"/>
  <c r="BL19" i="13"/>
  <c r="BM19" i="13" s="1"/>
  <c r="BI19" i="13"/>
  <c r="BJ19" i="13" s="1"/>
  <c r="AZ19" i="13"/>
  <c r="BA19" i="13" s="1"/>
  <c r="AX19" i="13"/>
  <c r="AV19" i="13"/>
  <c r="AT19" i="13"/>
  <c r="AM19" i="13"/>
  <c r="AN19" i="13" s="1"/>
  <c r="AO19" i="13" s="1"/>
  <c r="AL19" i="13"/>
  <c r="AJ19" i="13"/>
  <c r="AG19" i="13"/>
  <c r="AC19" i="13"/>
  <c r="Z19" i="13"/>
  <c r="X19" i="13"/>
  <c r="V19" i="13"/>
  <c r="P19" i="13"/>
  <c r="R19" i="13" s="1"/>
  <c r="S19" i="13" s="1"/>
  <c r="BU18" i="13"/>
  <c r="BS18" i="13"/>
  <c r="BL18" i="13"/>
  <c r="BM18" i="13" s="1"/>
  <c r="BI18" i="13"/>
  <c r="BJ18" i="13" s="1"/>
  <c r="AZ18" i="13"/>
  <c r="BA18" i="13" s="1"/>
  <c r="AX18" i="13"/>
  <c r="AV18" i="13"/>
  <c r="AT18" i="13"/>
  <c r="AK18" i="13"/>
  <c r="AN18" i="13" s="1"/>
  <c r="AO18" i="13" s="1"/>
  <c r="AJ18" i="13"/>
  <c r="AG18" i="13"/>
  <c r="AC18" i="13"/>
  <c r="Z18" i="13"/>
  <c r="W18" i="13"/>
  <c r="U18" i="13"/>
  <c r="V18" i="13" s="1"/>
  <c r="P18" i="13"/>
  <c r="R18" i="13" s="1"/>
  <c r="S18" i="13" s="1"/>
  <c r="CR17" i="13"/>
  <c r="BS17" i="13"/>
  <c r="BL17" i="13"/>
  <c r="BJ17" i="13"/>
  <c r="AZ17" i="13"/>
  <c r="AT17" i="13"/>
  <c r="AR17" i="13"/>
  <c r="AN17" i="13"/>
  <c r="P17" i="13"/>
  <c r="R17" i="13" s="1"/>
  <c r="CH16" i="13"/>
  <c r="BU16" i="13"/>
  <c r="BS16" i="13"/>
  <c r="BV16" i="13" s="1"/>
  <c r="BL16" i="13"/>
  <c r="BF16" i="13" s="1"/>
  <c r="BJ16" i="13"/>
  <c r="AZ16" i="13"/>
  <c r="BA16" i="13" s="1"/>
  <c r="AX16" i="13"/>
  <c r="AV16" i="13"/>
  <c r="AT16" i="13"/>
  <c r="AN16" i="13"/>
  <c r="AO16" i="13" s="1"/>
  <c r="AL16" i="13"/>
  <c r="AJ16" i="13"/>
  <c r="AG16" i="13"/>
  <c r="AC16" i="13"/>
  <c r="Z16" i="13"/>
  <c r="X16" i="13"/>
  <c r="V16" i="13"/>
  <c r="P16" i="13"/>
  <c r="R16" i="13" s="1"/>
  <c r="S16" i="13" s="1"/>
  <c r="BV15" i="13"/>
  <c r="BU15" i="13"/>
  <c r="BS15" i="13"/>
  <c r="BL15" i="13"/>
  <c r="BF15" i="13" s="1"/>
  <c r="BJ15" i="13"/>
  <c r="AZ15" i="13"/>
  <c r="BA15" i="13" s="1"/>
  <c r="AX15" i="13"/>
  <c r="AV15" i="13"/>
  <c r="AT15" i="13"/>
  <c r="AN15" i="13"/>
  <c r="AO15" i="13" s="1"/>
  <c r="AL15" i="13"/>
  <c r="AJ15" i="13"/>
  <c r="AG15" i="13"/>
  <c r="AC15" i="13"/>
  <c r="Z15" i="13"/>
  <c r="X15" i="13"/>
  <c r="V15" i="13"/>
  <c r="P15" i="13"/>
  <c r="R15" i="13" s="1"/>
  <c r="S15" i="13" s="1"/>
  <c r="BU14" i="13"/>
  <c r="BS14" i="13"/>
  <c r="BL14" i="13"/>
  <c r="BM14" i="13" s="1"/>
  <c r="BI14" i="13"/>
  <c r="BJ14" i="13" s="1"/>
  <c r="AZ14" i="13"/>
  <c r="BA14" i="13" s="1"/>
  <c r="AX14" i="13"/>
  <c r="AV14" i="13"/>
  <c r="AT14" i="13"/>
  <c r="AN14" i="13"/>
  <c r="AO14" i="13" s="1"/>
  <c r="AL14" i="13"/>
  <c r="AJ14" i="13"/>
  <c r="AG14" i="13"/>
  <c r="AC14" i="13"/>
  <c r="Z14" i="13"/>
  <c r="V14" i="13"/>
  <c r="P14" i="13"/>
  <c r="R14" i="13" s="1"/>
  <c r="S14" i="13" s="1"/>
  <c r="BU13" i="13"/>
  <c r="BS13" i="13"/>
  <c r="BL13" i="13"/>
  <c r="BM13" i="13" s="1"/>
  <c r="BI13" i="13"/>
  <c r="BJ13" i="13" s="1"/>
  <c r="BA13" i="13"/>
  <c r="AX13" i="13"/>
  <c r="AV13" i="13"/>
  <c r="AN13" i="13"/>
  <c r="AO13" i="13" s="1"/>
  <c r="AL13" i="13"/>
  <c r="AJ13" i="13"/>
  <c r="AC13" i="13"/>
  <c r="P13" i="13"/>
  <c r="R13" i="13" s="1"/>
  <c r="S13" i="13" s="1"/>
  <c r="BU12" i="13"/>
  <c r="BS12" i="13"/>
  <c r="BL12" i="13"/>
  <c r="BF12" i="13" s="1"/>
  <c r="BJ12" i="13"/>
  <c r="AZ12" i="13"/>
  <c r="BA12" i="13" s="1"/>
  <c r="AX12" i="13"/>
  <c r="AV12" i="13"/>
  <c r="AT12" i="13"/>
  <c r="AM12" i="13"/>
  <c r="AN12" i="13" s="1"/>
  <c r="AO12" i="13" s="1"/>
  <c r="AL12" i="13"/>
  <c r="AJ12" i="13"/>
  <c r="AG12" i="13"/>
  <c r="AC12" i="13"/>
  <c r="Z12" i="13"/>
  <c r="X12" i="13"/>
  <c r="V12" i="13"/>
  <c r="P12" i="13"/>
  <c r="R12" i="13" s="1"/>
  <c r="S12" i="13" s="1"/>
  <c r="CH11" i="13"/>
  <c r="BU11" i="13"/>
  <c r="BS11" i="13"/>
  <c r="BL11" i="13"/>
  <c r="BM11" i="13" s="1"/>
  <c r="BJ11" i="13"/>
  <c r="AZ11" i="13"/>
  <c r="BA11" i="13" s="1"/>
  <c r="AX11" i="13"/>
  <c r="AV11" i="13"/>
  <c r="AT11" i="13"/>
  <c r="AN11" i="13"/>
  <c r="AO11" i="13" s="1"/>
  <c r="AL11" i="13"/>
  <c r="AJ11" i="13"/>
  <c r="AG11" i="13"/>
  <c r="AC11" i="13"/>
  <c r="Z11" i="13"/>
  <c r="X11" i="13"/>
  <c r="V11" i="13"/>
  <c r="P11" i="13"/>
  <c r="R11" i="13" s="1"/>
  <c r="S11" i="13" s="1"/>
  <c r="BS10" i="13"/>
  <c r="BJ10" i="13"/>
  <c r="BU9" i="13"/>
  <c r="BS9" i="13"/>
  <c r="BL9" i="13"/>
  <c r="BM9" i="13" s="1"/>
  <c r="BI9" i="13"/>
  <c r="BJ9" i="13" s="1"/>
  <c r="AZ9" i="13"/>
  <c r="BA9" i="13" s="1"/>
  <c r="AX9" i="13"/>
  <c r="AV9" i="13"/>
  <c r="AT9" i="13"/>
  <c r="AR9" i="13"/>
  <c r="AK9" i="13"/>
  <c r="AJ9" i="13"/>
  <c r="AG9" i="13"/>
  <c r="AC9" i="13"/>
  <c r="Z9" i="13"/>
  <c r="X9" i="13"/>
  <c r="V9" i="13"/>
  <c r="P9" i="13"/>
  <c r="R9" i="13" s="1"/>
  <c r="S9" i="13" s="1"/>
  <c r="BV8" i="13"/>
  <c r="BU8" i="13"/>
  <c r="BR8" i="13"/>
  <c r="BS8" i="13" s="1"/>
  <c r="BN8" i="13"/>
  <c r="BL8" i="13"/>
  <c r="BM8" i="13" s="1"/>
  <c r="AZ8" i="13"/>
  <c r="BA8" i="13" s="1"/>
  <c r="AX8" i="13"/>
  <c r="AV8" i="13"/>
  <c r="AT8" i="13"/>
  <c r="AM8" i="13"/>
  <c r="AN8" i="13" s="1"/>
  <c r="P8" i="13"/>
  <c r="R8" i="13" s="1"/>
  <c r="BS7" i="13"/>
  <c r="BL7" i="13"/>
  <c r="BM7" i="13" s="1"/>
  <c r="BI7" i="13"/>
  <c r="BJ7" i="13" s="1"/>
  <c r="BV6" i="13"/>
  <c r="BS6" i="13"/>
  <c r="BV5" i="13"/>
  <c r="BU5" i="13"/>
  <c r="BS5" i="13"/>
  <c r="BL5" i="13"/>
  <c r="BM5" i="13" s="1"/>
  <c r="BI5" i="13"/>
  <c r="BI8" i="13" s="1"/>
  <c r="BJ8" i="13" s="1"/>
  <c r="AZ5" i="13"/>
  <c r="BA5" i="13" s="1"/>
  <c r="AX5" i="13"/>
  <c r="AV5" i="13"/>
  <c r="AT5" i="13"/>
  <c r="AM5" i="13"/>
  <c r="AN5" i="13" s="1"/>
  <c r="AO5" i="13" s="1"/>
  <c r="AL5" i="13"/>
  <c r="AJ5" i="13"/>
  <c r="AG5" i="13"/>
  <c r="AC5" i="13"/>
  <c r="Z5" i="13"/>
  <c r="X5" i="13"/>
  <c r="U5" i="13"/>
  <c r="P5" i="13"/>
  <c r="R5" i="13" s="1"/>
  <c r="S5" i="13" s="1"/>
  <c r="BS4" i="13"/>
  <c r="BL4" i="13"/>
  <c r="BJ4" i="13"/>
  <c r="BM4" i="13" s="1"/>
  <c r="AZ4" i="13"/>
  <c r="AX4" i="13"/>
  <c r="AV4" i="13"/>
  <c r="AT4" i="13"/>
  <c r="AN4" i="13"/>
  <c r="AO4" i="13" s="1"/>
  <c r="AL4" i="13"/>
  <c r="AJ4" i="13"/>
  <c r="AG4" i="13"/>
  <c r="AC4" i="13"/>
  <c r="Z4" i="13"/>
  <c r="X4" i="13"/>
  <c r="V4" i="13"/>
  <c r="P4" i="13"/>
  <c r="BA3" i="13"/>
  <c r="AL3" i="13"/>
  <c r="AJ3" i="13"/>
  <c r="AG3" i="13"/>
  <c r="AC3" i="13"/>
  <c r="Z3" i="13"/>
  <c r="X3" i="13"/>
  <c r="V3" i="13"/>
  <c r="S3" i="13"/>
  <c r="F63" i="11"/>
  <c r="J58" i="11"/>
  <c r="I58" i="11"/>
  <c r="H58" i="11"/>
  <c r="H65" i="11" s="1"/>
  <c r="F56" i="11"/>
  <c r="F47" i="11"/>
  <c r="E27" i="11"/>
  <c r="E23" i="11"/>
  <c r="F22" i="11"/>
  <c r="F29" i="11" s="1"/>
  <c r="F35" i="11" s="1"/>
  <c r="F42" i="11" s="1"/>
  <c r="F49" i="11" s="1"/>
  <c r="F58" i="11" s="1"/>
  <c r="F65" i="11" s="1"/>
  <c r="F73" i="11" s="1"/>
  <c r="E12" i="11"/>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I16" i="10"/>
  <c r="G36" i="7"/>
  <c r="G43" i="7" s="1"/>
  <c r="F20" i="7"/>
  <c r="K12" i="3"/>
  <c r="K13" i="3"/>
  <c r="K14" i="3"/>
  <c r="K15" i="3"/>
  <c r="K16" i="3"/>
  <c r="K17" i="3"/>
  <c r="K18" i="3"/>
  <c r="K19" i="3"/>
  <c r="G16" i="3"/>
  <c r="K22" i="3"/>
  <c r="K23" i="3"/>
  <c r="K24" i="3"/>
  <c r="K25" i="3"/>
  <c r="K26" i="3"/>
  <c r="AR37" i="13" l="1"/>
  <c r="I37" i="10"/>
  <c r="D51" i="9"/>
  <c r="I42" i="10" s="1"/>
  <c r="I44" i="10" s="1"/>
  <c r="W37" i="13"/>
  <c r="BF37" i="13"/>
  <c r="AX37" i="13"/>
  <c r="AV37" i="13"/>
  <c r="CJ28" i="13"/>
  <c r="CJ21" i="13" s="1"/>
  <c r="X37" i="13"/>
  <c r="AJ37" i="13"/>
  <c r="U37" i="13"/>
  <c r="V37" i="13" s="1"/>
  <c r="AK37" i="13"/>
  <c r="AL37" i="13" s="1"/>
  <c r="L37" i="13"/>
  <c r="BN37" i="13"/>
  <c r="CJ18" i="13"/>
  <c r="X18" i="13"/>
  <c r="Z37" i="13"/>
  <c r="V5" i="13"/>
  <c r="AC37" i="13"/>
  <c r="P37" i="13"/>
  <c r="BI37" i="13"/>
  <c r="BV37" i="13"/>
  <c r="AL9" i="13"/>
  <c r="AL18" i="13"/>
  <c r="AM37" i="13"/>
  <c r="BF19" i="13"/>
  <c r="BM22" i="13"/>
  <c r="BF26" i="13"/>
  <c r="BF27" i="13"/>
  <c r="BF14" i="13"/>
  <c r="BF8" i="13"/>
  <c r="BR37" i="13"/>
  <c r="AZ37" i="13"/>
  <c r="BA37" i="13" s="1"/>
  <c r="BS37" i="13"/>
  <c r="BF11" i="13"/>
  <c r="BF18" i="13"/>
  <c r="BF13" i="13"/>
  <c r="BM15" i="13"/>
  <c r="BL37" i="13"/>
  <c r="BM37" i="13" s="1"/>
  <c r="AT37" i="13"/>
  <c r="BA4" i="13"/>
  <c r="F23" i="14"/>
  <c r="BU24" i="13"/>
  <c r="BO37" i="13"/>
  <c r="BU37" i="13" s="1"/>
  <c r="AF37" i="13"/>
  <c r="AG37" i="13" s="1"/>
  <c r="R4" i="13"/>
  <c r="BF4" i="13"/>
  <c r="BF5" i="13"/>
  <c r="AN9" i="13"/>
  <c r="AO9" i="13" s="1"/>
  <c r="BF9" i="13"/>
  <c r="BM12" i="13"/>
  <c r="BM16" i="13"/>
  <c r="BT41" i="13"/>
  <c r="BJ5" i="13"/>
  <c r="BJ37" i="13" s="1"/>
  <c r="BF20" i="13"/>
  <c r="K43" i="7"/>
  <c r="K7" i="3"/>
  <c r="K4" i="3"/>
  <c r="G4" i="3"/>
  <c r="I4" i="3" s="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I143" i="3" s="1"/>
  <c r="I144" i="3" s="1"/>
  <c r="I145" i="3" s="1"/>
  <c r="I146" i="3" s="1"/>
  <c r="I147" i="3" s="1"/>
  <c r="I148" i="3" s="1"/>
  <c r="I149" i="3" s="1"/>
  <c r="I150" i="3" s="1"/>
  <c r="I151" i="3" s="1"/>
  <c r="I152" i="3" s="1"/>
  <c r="I153" i="3" s="1"/>
  <c r="I154" i="3" s="1"/>
  <c r="I155" i="3" s="1"/>
  <c r="I156" i="3" s="1"/>
  <c r="I157" i="3" s="1"/>
  <c r="I158" i="3" s="1"/>
  <c r="I159" i="3" s="1"/>
  <c r="I160" i="3" s="1"/>
  <c r="I161" i="3" s="1"/>
  <c r="I162" i="3" s="1"/>
  <c r="I163" i="3" s="1"/>
  <c r="I164" i="3" s="1"/>
  <c r="I165" i="3" s="1"/>
  <c r="I166" i="3" s="1"/>
  <c r="I167" i="3" s="1"/>
  <c r="I168" i="3" s="1"/>
  <c r="I169" i="3" s="1"/>
  <c r="I170" i="3" s="1"/>
  <c r="I171" i="3" s="1"/>
  <c r="I172" i="3" s="1"/>
  <c r="I173" i="3" s="1"/>
  <c r="I174" i="3" s="1"/>
  <c r="I175" i="3" s="1"/>
  <c r="I176" i="3" s="1"/>
  <c r="I177" i="3" s="1"/>
  <c r="I178" i="3" s="1"/>
  <c r="I179" i="3" s="1"/>
  <c r="I180" i="3" s="1"/>
  <c r="I181" i="3" s="1"/>
  <c r="I182" i="3" s="1"/>
  <c r="I183" i="3" s="1"/>
  <c r="M40" i="10" l="1"/>
  <c r="CJ20" i="13"/>
  <c r="S4" i="13"/>
  <c r="S37" i="13" s="1"/>
  <c r="R37" i="13"/>
  <c r="AN37" i="13"/>
  <c r="AO37" i="13" s="1"/>
  <c r="K20" i="3"/>
  <c r="K21" i="3"/>
  <c r="E14" i="25" l="1"/>
  <c r="N14" i="25" s="1"/>
  <c r="H13" i="25"/>
  <c r="E13" i="25"/>
  <c r="K13" i="25" l="1"/>
  <c r="N13" i="25"/>
  <c r="E15" i="25"/>
  <c r="K14" i="25"/>
  <c r="H15" i="25"/>
  <c r="N15" i="25" l="1"/>
  <c r="K15" i="25"/>
  <c r="AI184" i="3" l="1"/>
  <c r="BW34" i="13" s="1"/>
  <c r="H6" i="4" l="1"/>
  <c r="H7" i="4" s="1"/>
  <c r="H8" i="4" s="1"/>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F38" i="4" l="1"/>
  <c r="AA45" i="5"/>
  <c r="AB45" i="5"/>
  <c r="Z45" i="5"/>
  <c r="X45" i="5"/>
  <c r="Y45" i="5"/>
  <c r="W45" i="5"/>
  <c r="V45" i="5"/>
  <c r="U45" i="5"/>
  <c r="T45" i="5"/>
  <c r="R45" i="5"/>
  <c r="P45" i="5"/>
  <c r="O45" i="5"/>
  <c r="N45" i="5"/>
  <c r="M45" i="5"/>
  <c r="L45" i="5"/>
  <c r="N47" i="5" s="1"/>
  <c r="K45" i="5"/>
  <c r="J45" i="5"/>
  <c r="I45" i="5"/>
  <c r="H45" i="5"/>
  <c r="G45" i="5"/>
  <c r="F45" i="5"/>
  <c r="F48" i="5" s="1"/>
  <c r="E45" i="5"/>
  <c r="D45" i="5"/>
  <c r="C45" i="5"/>
  <c r="B45" i="5"/>
  <c r="Q32" i="5"/>
  <c r="G31" i="5"/>
  <c r="Q30" i="5"/>
  <c r="Q45" i="5" s="1"/>
  <c r="L19" i="5"/>
  <c r="K19" i="5"/>
  <c r="I19" i="5"/>
  <c r="K18" i="5"/>
  <c r="J18" i="5"/>
  <c r="J20" i="5" s="1"/>
  <c r="I18" i="5"/>
  <c r="G18" i="5"/>
  <c r="E18" i="5"/>
  <c r="D18" i="5"/>
  <c r="C18" i="5"/>
  <c r="B18" i="5"/>
  <c r="L12" i="5"/>
  <c r="L18" i="5" s="1"/>
  <c r="L20" i="5" s="1"/>
  <c r="H12" i="5"/>
  <c r="H8" i="5"/>
  <c r="F8" i="5"/>
  <c r="F2" i="5"/>
  <c r="F18" i="5" l="1"/>
  <c r="H18" i="5"/>
  <c r="G49" i="5"/>
  <c r="M47" i="5"/>
  <c r="CB18" i="21" l="1"/>
  <c r="CD58" i="21" l="1"/>
  <c r="CB58" i="21"/>
  <c r="BZ58" i="21"/>
  <c r="BY58" i="21"/>
  <c r="BY57" i="21"/>
  <c r="BH34" i="21"/>
  <c r="BG34" i="21"/>
  <c r="BE34" i="21"/>
  <c r="BD34" i="21"/>
  <c r="BC34" i="21"/>
  <c r="AY34" i="21"/>
  <c r="AX34" i="21"/>
  <c r="AW34" i="21"/>
  <c r="AU34" i="21"/>
  <c r="AV34" i="21" s="1"/>
  <c r="AS34" i="21"/>
  <c r="AQ34" i="21"/>
  <c r="AK34" i="21"/>
  <c r="AL34" i="21" s="1"/>
  <c r="AI34" i="21"/>
  <c r="AJ34" i="21" s="1"/>
  <c r="AH34" i="21"/>
  <c r="AB34" i="21"/>
  <c r="AC34" i="21" s="1"/>
  <c r="AA34" i="21"/>
  <c r="Y34" i="21"/>
  <c r="Z34" i="21" s="1"/>
  <c r="W34" i="21"/>
  <c r="X34" i="21" s="1"/>
  <c r="T34" i="21"/>
  <c r="Q34" i="21"/>
  <c r="O34" i="21"/>
  <c r="N34" i="21"/>
  <c r="M34" i="21"/>
  <c r="K34" i="21"/>
  <c r="J34" i="21"/>
  <c r="I34" i="21"/>
  <c r="H34" i="21"/>
  <c r="G34" i="21"/>
  <c r="F34" i="21"/>
  <c r="E34" i="21"/>
  <c r="D34" i="21"/>
  <c r="C34" i="21"/>
  <c r="B34" i="21"/>
  <c r="BJ33" i="21"/>
  <c r="BJ32" i="21"/>
  <c r="BJ31" i="21"/>
  <c r="BJ30" i="21"/>
  <c r="BK30" i="21" s="1"/>
  <c r="BF30" i="21"/>
  <c r="AZ30" i="21"/>
  <c r="BF29" i="21"/>
  <c r="BA29" i="21"/>
  <c r="BJ28" i="21"/>
  <c r="BK28" i="21" s="1"/>
  <c r="BF28" i="21"/>
  <c r="BA28" i="21"/>
  <c r="BJ27" i="21"/>
  <c r="AN27" i="21"/>
  <c r="P27" i="21"/>
  <c r="R27" i="21" s="1"/>
  <c r="BM26" i="21"/>
  <c r="BF26" i="21" s="1"/>
  <c r="BJ26" i="21"/>
  <c r="BK26" i="21" s="1"/>
  <c r="AZ26" i="21"/>
  <c r="BA26" i="21" s="1"/>
  <c r="AX26" i="21"/>
  <c r="AV26" i="21"/>
  <c r="AT26" i="21"/>
  <c r="BW25" i="21"/>
  <c r="BM25" i="21"/>
  <c r="BF25" i="21" s="1"/>
  <c r="BK25" i="21"/>
  <c r="BJ25" i="21"/>
  <c r="AZ25" i="21"/>
  <c r="BA25" i="21" s="1"/>
  <c r="AX25" i="21"/>
  <c r="AV25" i="21"/>
  <c r="AT25" i="21"/>
  <c r="AO25" i="21"/>
  <c r="AN25" i="21"/>
  <c r="AL25" i="21"/>
  <c r="AJ25" i="21"/>
  <c r="AG25" i="21"/>
  <c r="AC25" i="21"/>
  <c r="U25" i="21"/>
  <c r="R25" i="21"/>
  <c r="S25" i="21" s="1"/>
  <c r="P25" i="21"/>
  <c r="H25" i="21"/>
  <c r="BJ24" i="21"/>
  <c r="AT24" i="21"/>
  <c r="AN24" i="21"/>
  <c r="AO24" i="21" s="1"/>
  <c r="AL24" i="21"/>
  <c r="AJ24" i="21"/>
  <c r="AG24" i="21"/>
  <c r="AC24" i="21"/>
  <c r="Z24" i="21"/>
  <c r="X24" i="21"/>
  <c r="V24" i="21"/>
  <c r="P24" i="21"/>
  <c r="R24" i="21" s="1"/>
  <c r="S24" i="21" s="1"/>
  <c r="BW23" i="21"/>
  <c r="BW27" i="21" s="1"/>
  <c r="BW20" i="21" s="1"/>
  <c r="BN23" i="21"/>
  <c r="BO23" i="21" s="1"/>
  <c r="BO34" i="21" s="1"/>
  <c r="CB2" i="21" s="1"/>
  <c r="BI23" i="21"/>
  <c r="BJ23" i="21" s="1"/>
  <c r="BK23" i="21" s="1"/>
  <c r="BF23" i="21"/>
  <c r="AZ23" i="21"/>
  <c r="BA23" i="21" s="1"/>
  <c r="AX23" i="21"/>
  <c r="AV23" i="21"/>
  <c r="AT23" i="21"/>
  <c r="AM23" i="21"/>
  <c r="AN23" i="21" s="1"/>
  <c r="AO23" i="21" s="1"/>
  <c r="AL23" i="21"/>
  <c r="AJ23" i="21"/>
  <c r="AG23" i="21"/>
  <c r="AC23" i="21"/>
  <c r="Z23" i="21"/>
  <c r="W23" i="21"/>
  <c r="X23" i="21" s="1"/>
  <c r="U23" i="21"/>
  <c r="V23" i="21" s="1"/>
  <c r="P23" i="21"/>
  <c r="R23" i="21" s="1"/>
  <c r="S23" i="21" s="1"/>
  <c r="BJ22" i="21"/>
  <c r="AN22" i="21"/>
  <c r="Z22" i="21"/>
  <c r="X22" i="21"/>
  <c r="V22" i="21"/>
  <c r="P22" i="21"/>
  <c r="R22" i="21" s="1"/>
  <c r="S22" i="21" s="1"/>
  <c r="L22" i="21"/>
  <c r="BM21" i="21"/>
  <c r="BF21" i="21" s="1"/>
  <c r="BJ21" i="21"/>
  <c r="BK21" i="21" s="1"/>
  <c r="AZ21" i="21"/>
  <c r="BA21" i="21" s="1"/>
  <c r="AX21" i="21"/>
  <c r="AV21" i="21"/>
  <c r="AT21" i="21"/>
  <c r="AN21" i="21"/>
  <c r="AO21" i="21" s="1"/>
  <c r="AL21" i="21"/>
  <c r="AJ21" i="21"/>
  <c r="AG21" i="21"/>
  <c r="AC21" i="21"/>
  <c r="Z21" i="21"/>
  <c r="X21" i="21"/>
  <c r="V21" i="21"/>
  <c r="R21" i="21"/>
  <c r="S21" i="21" s="1"/>
  <c r="P21" i="21"/>
  <c r="BJ20" i="21"/>
  <c r="AN20" i="21"/>
  <c r="P20" i="21"/>
  <c r="R20" i="21" s="1"/>
  <c r="CB19" i="21"/>
  <c r="BM19" i="21"/>
  <c r="BF19" i="21" s="1"/>
  <c r="BI19" i="21"/>
  <c r="BJ19" i="21" s="1"/>
  <c r="BK19" i="21" s="1"/>
  <c r="AZ19" i="21"/>
  <c r="BA19" i="21" s="1"/>
  <c r="AX19" i="21"/>
  <c r="AV19" i="21"/>
  <c r="AT19" i="21"/>
  <c r="AN19" i="21"/>
  <c r="AO19" i="21" s="1"/>
  <c r="AL19" i="21"/>
  <c r="AJ19" i="21"/>
  <c r="AF19" i="21"/>
  <c r="AF34" i="21" s="1"/>
  <c r="AG34" i="21" s="1"/>
  <c r="AC19" i="21"/>
  <c r="Z19" i="21"/>
  <c r="X19" i="21"/>
  <c r="V19" i="21"/>
  <c r="P19" i="21"/>
  <c r="R19" i="21" s="1"/>
  <c r="S19" i="21" s="1"/>
  <c r="L19" i="21"/>
  <c r="L34" i="21" s="1"/>
  <c r="BM18" i="21"/>
  <c r="BF18" i="21" s="1"/>
  <c r="BJ18" i="21"/>
  <c r="BK18" i="21" s="1"/>
  <c r="BI18" i="21"/>
  <c r="AZ18" i="21"/>
  <c r="BA18" i="21" s="1"/>
  <c r="AX18" i="21"/>
  <c r="AV18" i="21"/>
  <c r="AT18" i="21"/>
  <c r="AM18" i="21"/>
  <c r="AN18" i="21" s="1"/>
  <c r="AO18" i="21" s="1"/>
  <c r="AL18" i="21"/>
  <c r="AJ18" i="21"/>
  <c r="AG18" i="21"/>
  <c r="AC18" i="21"/>
  <c r="Z18" i="21"/>
  <c r="X18" i="21"/>
  <c r="V18" i="21"/>
  <c r="P18" i="21"/>
  <c r="R18" i="21" s="1"/>
  <c r="S18" i="21" s="1"/>
  <c r="BM17" i="21"/>
  <c r="BF17" i="21" s="1"/>
  <c r="BJ17" i="21"/>
  <c r="BK17" i="21" s="1"/>
  <c r="BI17" i="21"/>
  <c r="AZ17" i="21"/>
  <c r="BA17" i="21" s="1"/>
  <c r="AX17" i="21"/>
  <c r="AV17" i="21"/>
  <c r="AT17" i="21"/>
  <c r="AK17" i="21"/>
  <c r="AN17" i="21" s="1"/>
  <c r="AO17" i="21" s="1"/>
  <c r="AJ17" i="21"/>
  <c r="AG17" i="21"/>
  <c r="AC17" i="21"/>
  <c r="Z17" i="21"/>
  <c r="X17" i="21"/>
  <c r="W17" i="21"/>
  <c r="U17" i="21"/>
  <c r="V17" i="21" s="1"/>
  <c r="P17" i="21"/>
  <c r="R17" i="21" s="1"/>
  <c r="S17" i="21" s="1"/>
  <c r="BM16" i="21"/>
  <c r="BJ16" i="21"/>
  <c r="AZ16" i="21"/>
  <c r="AT16" i="21"/>
  <c r="AR16" i="21"/>
  <c r="AN16" i="21"/>
  <c r="P16" i="21"/>
  <c r="R16" i="21" s="1"/>
  <c r="BU15" i="21"/>
  <c r="BM15" i="21"/>
  <c r="BF15" i="21" s="1"/>
  <c r="BJ15" i="21"/>
  <c r="BK15" i="21" s="1"/>
  <c r="AZ15" i="21"/>
  <c r="BA15" i="21" s="1"/>
  <c r="AX15" i="21"/>
  <c r="AV15" i="21"/>
  <c r="AT15" i="21"/>
  <c r="AN15" i="21"/>
  <c r="AO15" i="21" s="1"/>
  <c r="AL15" i="21"/>
  <c r="AJ15" i="21"/>
  <c r="AG15" i="21"/>
  <c r="AC15" i="21"/>
  <c r="Z15" i="21"/>
  <c r="X15" i="21"/>
  <c r="V15" i="21"/>
  <c r="P15" i="21"/>
  <c r="R15" i="21" s="1"/>
  <c r="S15" i="21" s="1"/>
  <c r="CB14" i="21"/>
  <c r="BM14" i="21"/>
  <c r="BF14" i="21" s="1"/>
  <c r="BJ14" i="21"/>
  <c r="BK14" i="21" s="1"/>
  <c r="AZ14" i="21"/>
  <c r="BA14" i="21" s="1"/>
  <c r="AX14" i="21"/>
  <c r="AV14" i="21"/>
  <c r="AT14" i="21"/>
  <c r="AN14" i="21"/>
  <c r="AO14" i="21" s="1"/>
  <c r="AL14" i="21"/>
  <c r="AJ14" i="21"/>
  <c r="AG14" i="21"/>
  <c r="AC14" i="21"/>
  <c r="Z14" i="21"/>
  <c r="X14" i="21"/>
  <c r="V14" i="21"/>
  <c r="P14" i="21"/>
  <c r="R14" i="21" s="1"/>
  <c r="S14" i="21" s="1"/>
  <c r="BM13" i="21"/>
  <c r="BF13" i="21" s="1"/>
  <c r="BI13" i="21"/>
  <c r="BJ13" i="21" s="1"/>
  <c r="BK13" i="21" s="1"/>
  <c r="AZ13" i="21"/>
  <c r="BA13" i="21" s="1"/>
  <c r="AX13" i="21"/>
  <c r="AV13" i="21"/>
  <c r="AT13" i="21"/>
  <c r="AN13" i="21"/>
  <c r="AO13" i="21" s="1"/>
  <c r="AL13" i="21"/>
  <c r="AJ13" i="21"/>
  <c r="AG13" i="21"/>
  <c r="AC13" i="21"/>
  <c r="Z13" i="21"/>
  <c r="V13" i="21"/>
  <c r="R13" i="21"/>
  <c r="S13" i="21" s="1"/>
  <c r="P13" i="21"/>
  <c r="BM12" i="21"/>
  <c r="BF12" i="21" s="1"/>
  <c r="BJ12" i="21"/>
  <c r="BK12" i="21" s="1"/>
  <c r="BI12" i="21"/>
  <c r="BA12" i="21"/>
  <c r="AX12" i="21"/>
  <c r="AV12" i="21"/>
  <c r="AN12" i="21"/>
  <c r="AO12" i="21" s="1"/>
  <c r="AL12" i="21"/>
  <c r="AJ12" i="21"/>
  <c r="AC12" i="21"/>
  <c r="R12" i="21"/>
  <c r="S12" i="21" s="1"/>
  <c r="P12" i="21"/>
  <c r="BM11" i="21"/>
  <c r="BF11" i="21" s="1"/>
  <c r="BJ11" i="21"/>
  <c r="BK11" i="21" s="1"/>
  <c r="AZ11" i="21"/>
  <c r="BA11" i="21" s="1"/>
  <c r="AX11" i="21"/>
  <c r="AV11" i="21"/>
  <c r="AT11" i="21"/>
  <c r="AN11" i="21"/>
  <c r="AO11" i="21" s="1"/>
  <c r="AM11" i="21"/>
  <c r="AL11" i="21"/>
  <c r="AJ11" i="21"/>
  <c r="AG11" i="21"/>
  <c r="AC11" i="21"/>
  <c r="Z11" i="21"/>
  <c r="X11" i="21"/>
  <c r="V11" i="21"/>
  <c r="P11" i="21"/>
  <c r="R11" i="21" s="1"/>
  <c r="S11" i="21" s="1"/>
  <c r="BU10" i="21"/>
  <c r="BW17" i="21" s="1"/>
  <c r="BM10" i="21"/>
  <c r="BF10" i="21" s="1"/>
  <c r="BJ10" i="21"/>
  <c r="BK10" i="21" s="1"/>
  <c r="AZ10" i="21"/>
  <c r="BA10" i="21" s="1"/>
  <c r="AX10" i="21"/>
  <c r="AV10" i="21"/>
  <c r="AT10" i="21"/>
  <c r="AN10" i="21"/>
  <c r="AO10" i="21" s="1"/>
  <c r="AL10" i="21"/>
  <c r="AJ10" i="21"/>
  <c r="AG10" i="21"/>
  <c r="AC10" i="21"/>
  <c r="Z10" i="21"/>
  <c r="X10" i="21"/>
  <c r="V10" i="21"/>
  <c r="R10" i="21"/>
  <c r="S10" i="21" s="1"/>
  <c r="P10" i="21"/>
  <c r="BJ9" i="21"/>
  <c r="BM8" i="21"/>
  <c r="BF8" i="21" s="1"/>
  <c r="BI8" i="21"/>
  <c r="BJ8" i="21" s="1"/>
  <c r="BK8" i="21" s="1"/>
  <c r="AZ8" i="21"/>
  <c r="BA8" i="21" s="1"/>
  <c r="AX8" i="21"/>
  <c r="AV8" i="21"/>
  <c r="AT8" i="21"/>
  <c r="AR8" i="21"/>
  <c r="AR34" i="21" s="1"/>
  <c r="AN8" i="21"/>
  <c r="AO8" i="21" s="1"/>
  <c r="AL8" i="21"/>
  <c r="AK8" i="21"/>
  <c r="AJ8" i="21"/>
  <c r="AG8" i="21"/>
  <c r="AC8" i="21"/>
  <c r="Z8" i="21"/>
  <c r="X8" i="21"/>
  <c r="V8" i="21"/>
  <c r="P8" i="21"/>
  <c r="R8" i="21" s="1"/>
  <c r="S8" i="21" s="1"/>
  <c r="BN7" i="21"/>
  <c r="BN34" i="21" s="1"/>
  <c r="BM7" i="21"/>
  <c r="BI7" i="21"/>
  <c r="BJ7" i="21" s="1"/>
  <c r="BK7" i="21" s="1"/>
  <c r="AZ7" i="21"/>
  <c r="BA7" i="21" s="1"/>
  <c r="AX7" i="21"/>
  <c r="AV7" i="21"/>
  <c r="AT7" i="21"/>
  <c r="AM7" i="21"/>
  <c r="AN7" i="21" s="1"/>
  <c r="R7" i="21"/>
  <c r="P7" i="21"/>
  <c r="BM6" i="21"/>
  <c r="BJ6" i="21"/>
  <c r="BK6" i="21" s="1"/>
  <c r="BI6" i="21"/>
  <c r="BM5" i="21"/>
  <c r="BF5" i="21" s="1"/>
  <c r="BJ5" i="21"/>
  <c r="BK5" i="21" s="1"/>
  <c r="BI5" i="21"/>
  <c r="AZ5" i="21"/>
  <c r="BA5" i="21" s="1"/>
  <c r="AX5" i="21"/>
  <c r="AV5" i="21"/>
  <c r="AT5" i="21"/>
  <c r="AM5" i="21"/>
  <c r="AN5" i="21" s="1"/>
  <c r="AO5" i="21" s="1"/>
  <c r="AL5" i="21"/>
  <c r="AJ5" i="21"/>
  <c r="AG5" i="21"/>
  <c r="AC5" i="21"/>
  <c r="Z5" i="21"/>
  <c r="X5" i="21"/>
  <c r="U5" i="21"/>
  <c r="V5" i="21" s="1"/>
  <c r="R5" i="21"/>
  <c r="S5" i="21" s="1"/>
  <c r="P5" i="21"/>
  <c r="BM4" i="21"/>
  <c r="BF4" i="21" s="1"/>
  <c r="BJ4" i="21"/>
  <c r="BK4" i="21" s="1"/>
  <c r="AZ4" i="21"/>
  <c r="AX4" i="21"/>
  <c r="AV4" i="21"/>
  <c r="AT4" i="21"/>
  <c r="AN4" i="21"/>
  <c r="AN34" i="21" s="1"/>
  <c r="AO34" i="21" s="1"/>
  <c r="AL4" i="21"/>
  <c r="AJ4" i="21"/>
  <c r="AG4" i="21"/>
  <c r="AC4" i="21"/>
  <c r="Z4" i="21"/>
  <c r="X4" i="21"/>
  <c r="V4" i="21"/>
  <c r="P4" i="21"/>
  <c r="R4" i="21" s="1"/>
  <c r="BK3" i="21"/>
  <c r="BF3" i="21"/>
  <c r="BA3" i="21"/>
  <c r="AL3" i="21"/>
  <c r="AJ3" i="21"/>
  <c r="AG3" i="21"/>
  <c r="AC3" i="21"/>
  <c r="Z3" i="21"/>
  <c r="X3" i="21"/>
  <c r="V3" i="21"/>
  <c r="S3" i="21"/>
  <c r="I195" i="3"/>
  <c r="AN184" i="3"/>
  <c r="AM184" i="3"/>
  <c r="AK184" i="3"/>
  <c r="AJ184" i="3"/>
  <c r="BW27" i="13" s="1"/>
  <c r="AH184" i="3"/>
  <c r="AG184" i="3"/>
  <c r="AF184" i="3"/>
  <c r="BW20" i="13" s="1"/>
  <c r="AD184" i="3"/>
  <c r="BW17" i="13" s="1"/>
  <c r="AC184" i="3"/>
  <c r="BW18" i="13" s="1"/>
  <c r="AB184" i="3"/>
  <c r="AA184" i="3"/>
  <c r="BW16" i="13" s="1"/>
  <c r="Z184" i="3"/>
  <c r="BW15" i="13" s="1"/>
  <c r="Y184" i="3"/>
  <c r="BW14" i="13" s="1"/>
  <c r="X184" i="3"/>
  <c r="BW11" i="13" s="1"/>
  <c r="W184" i="3"/>
  <c r="BW22" i="13" s="1"/>
  <c r="V184" i="3"/>
  <c r="P189" i="3" s="1"/>
  <c r="U184" i="3"/>
  <c r="T184" i="3"/>
  <c r="BW33" i="13" s="1"/>
  <c r="S184" i="3"/>
  <c r="R184" i="3"/>
  <c r="BW9" i="13" s="1"/>
  <c r="BY9" i="13" s="1"/>
  <c r="Q184" i="3"/>
  <c r="BW6" i="13" s="1"/>
  <c r="O184" i="3"/>
  <c r="BW5" i="13" s="1"/>
  <c r="N184" i="3"/>
  <c r="BW13" i="13" s="1"/>
  <c r="M184" i="3"/>
  <c r="L184" i="3"/>
  <c r="H184" i="3"/>
  <c r="K11" i="3"/>
  <c r="K10" i="3"/>
  <c r="P184" i="3"/>
  <c r="BW8" i="13" s="1"/>
  <c r="K9" i="3"/>
  <c r="F184" i="3"/>
  <c r="E187" i="3" s="1"/>
  <c r="K8" i="3"/>
  <c r="K6" i="3"/>
  <c r="K5" i="3"/>
  <c r="G184" i="3"/>
  <c r="E190" i="3" s="1"/>
  <c r="K3" i="3"/>
  <c r="BW30" i="13" l="1"/>
  <c r="BW19" i="13"/>
  <c r="E192" i="3"/>
  <c r="BZ9" i="13"/>
  <c r="BZ37" i="13" s="1"/>
  <c r="BY37" i="13"/>
  <c r="CR29" i="13" s="1"/>
  <c r="BW24" i="13"/>
  <c r="BW29" i="13"/>
  <c r="E191" i="3"/>
  <c r="AM187" i="3"/>
  <c r="AY185" i="3"/>
  <c r="Q191" i="3" s="1"/>
  <c r="BM34" i="21"/>
  <c r="Q199" i="3"/>
  <c r="AT34" i="21"/>
  <c r="AZ34" i="21"/>
  <c r="BA34" i="21" s="1"/>
  <c r="BW19" i="21"/>
  <c r="R34" i="21"/>
  <c r="S4" i="21"/>
  <c r="S34" i="21" s="1"/>
  <c r="AO4" i="21"/>
  <c r="AG19" i="21"/>
  <c r="P34" i="21"/>
  <c r="BI34" i="21"/>
  <c r="CB26" i="21" s="1"/>
  <c r="BF7" i="21"/>
  <c r="BA4" i="21"/>
  <c r="AL17" i="21"/>
  <c r="U34" i="21"/>
  <c r="V34" i="21" s="1"/>
  <c r="AM34" i="21"/>
  <c r="BJ34" i="21"/>
  <c r="BK34" i="21" s="1"/>
  <c r="K184" i="3"/>
  <c r="Q186" i="3" s="1"/>
  <c r="Q187" i="3"/>
  <c r="Q197" i="3" s="1"/>
  <c r="Q194" i="3"/>
  <c r="P188" i="3"/>
  <c r="Q189" i="3" s="1"/>
  <c r="Q190" i="3"/>
  <c r="X7" i="1"/>
  <c r="Y7" i="1"/>
  <c r="AA7" i="1"/>
  <c r="BW37" i="13" l="1"/>
  <c r="CR19" i="13"/>
  <c r="CR18" i="13"/>
  <c r="E193" i="3"/>
  <c r="Q201" i="3"/>
  <c r="CB16" i="21"/>
  <c r="CB15" i="21"/>
  <c r="X9" i="1"/>
  <c r="X10" i="1" s="1"/>
  <c r="Z9" i="1"/>
  <c r="Z10" i="1" s="1"/>
  <c r="E195" i="3" l="1"/>
  <c r="N5" i="16"/>
  <c r="N6" i="16" s="1"/>
  <c r="N7" i="16" s="1"/>
  <c r="N8" i="16" s="1"/>
  <c r="N9" i="16" s="1"/>
  <c r="N10" i="16" s="1"/>
  <c r="N11" i="16" s="1"/>
  <c r="N12" i="16" s="1"/>
  <c r="N13" i="16" s="1"/>
  <c r="N14" i="16" s="1"/>
  <c r="N4" i="16"/>
  <c r="N3" i="16"/>
  <c r="E38" i="4" l="1"/>
  <c r="G38" i="4"/>
  <c r="H39" i="4" l="1"/>
  <c r="G3" i="16"/>
  <c r="G4" i="16" s="1"/>
  <c r="G5" i="16" s="1"/>
  <c r="G6" i="16" s="1"/>
  <c r="G7" i="16" s="1"/>
  <c r="G8" i="16" s="1"/>
  <c r="G9" i="16" s="1"/>
  <c r="G10" i="16" s="1"/>
  <c r="G11" i="16" s="1"/>
  <c r="G12" i="16" s="1"/>
  <c r="G13" i="16" s="1"/>
  <c r="G14" i="16" s="1"/>
  <c r="W7" i="1" l="1"/>
  <c r="F9" i="12"/>
  <c r="D9" i="12" l="1"/>
  <c r="E9" i="12"/>
  <c r="G9" i="12"/>
  <c r="H9" i="12"/>
  <c r="I9" i="12"/>
  <c r="K10" i="12" l="1"/>
  <c r="I184" i="3" l="1"/>
  <c r="N7" i="1"/>
  <c r="O7" i="1"/>
  <c r="B7" i="1"/>
  <c r="C7" i="1"/>
  <c r="D7" i="1"/>
  <c r="E7" i="1"/>
  <c r="F7" i="1"/>
  <c r="G7" i="1"/>
  <c r="H7" i="1"/>
  <c r="I7" i="1"/>
  <c r="J7" i="1"/>
  <c r="K7" i="1"/>
  <c r="L7" i="1"/>
  <c r="K9" i="1" l="1"/>
  <c r="K10" i="1" s="1"/>
  <c r="L9" i="1"/>
  <c r="L10" i="1" s="1"/>
  <c r="D9" i="1"/>
  <c r="D10" i="1" s="1"/>
  <c r="N9" i="1"/>
  <c r="N10" i="1" s="1"/>
  <c r="E9" i="1"/>
  <c r="E10" i="1" s="1"/>
  <c r="F9" i="1"/>
  <c r="F10" i="1" s="1"/>
  <c r="G9" i="1"/>
  <c r="G10" i="1" s="1"/>
  <c r="I9" i="1"/>
  <c r="I10" i="1" s="1"/>
  <c r="H9" i="1"/>
  <c r="H10" i="1" s="1"/>
  <c r="J9" i="1"/>
  <c r="J10" i="1" s="1"/>
  <c r="F8" i="14" l="1"/>
  <c r="F7" i="14"/>
  <c r="F12" i="14" l="1"/>
  <c r="U7" i="1" l="1"/>
  <c r="U9" i="1" s="1"/>
  <c r="U10" i="1" s="1"/>
  <c r="T7" i="1"/>
  <c r="R7" i="1"/>
  <c r="S7" i="1"/>
  <c r="P7" i="1"/>
  <c r="Q7" i="1"/>
  <c r="Q9" i="1" s="1"/>
  <c r="Q10" i="1" s="1"/>
  <c r="M7" i="1"/>
  <c r="T9" i="1" l="1"/>
  <c r="T10" i="1" s="1"/>
  <c r="V9" i="1"/>
  <c r="V10" i="1" s="1"/>
  <c r="M9" i="1"/>
  <c r="M10" i="1" s="1"/>
  <c r="O9" i="1"/>
  <c r="O10" i="1" s="1"/>
  <c r="P9" i="1"/>
  <c r="P10" i="1" s="1"/>
  <c r="R9" i="1"/>
  <c r="R10" i="1" s="1"/>
  <c r="S9" i="1"/>
  <c r="S10" i="1" s="1"/>
  <c r="A7" i="4" l="1"/>
  <c r="A8" i="4" s="1"/>
  <c r="A9" i="4" s="1"/>
  <c r="A10" i="4" s="1"/>
  <c r="A11" i="4" s="1"/>
  <c r="A12" i="4" s="1"/>
  <c r="A13" i="4" s="1"/>
  <c r="A14" i="4" s="1"/>
  <c r="A15" i="4" s="1"/>
  <c r="A16" i="4" s="1"/>
  <c r="A17" i="4" l="1"/>
  <c r="A18" i="4" s="1"/>
  <c r="A19" i="4" s="1"/>
  <c r="A20" i="4" s="1"/>
  <c r="A21" i="4" s="1"/>
  <c r="A22" i="4" s="1"/>
  <c r="A23" i="4" s="1"/>
  <c r="A24" i="4" s="1"/>
  <c r="A25" i="4" s="1"/>
  <c r="A26" i="4" s="1"/>
  <c r="A27" i="4" s="1"/>
  <c r="A28" i="4" s="1"/>
  <c r="A29" i="4" s="1"/>
  <c r="A30" i="4" s="1"/>
  <c r="A31" i="4" s="1"/>
  <c r="A32" i="4" s="1"/>
  <c r="A33" i="4" s="1"/>
  <c r="A34" i="4" s="1"/>
  <c r="A35" i="4" s="1"/>
  <c r="A36" i="4" s="1"/>
  <c r="A3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tc={9B13EE53-234D-4535-AC77-5231C89FD111}</author>
    <author>tc={72D2077F-5076-46A8-BA3C-B2CCD2FD6EE6}</author>
    <author>tc={CE517984-0A76-4936-80BF-AC0EB3154379}</author>
    <author>tc={F33F296A-EA1A-4A1F-B3C3-4A20400B6A13}</author>
    <author>tc={91703872-4D1D-4102-B7CE-D0519167F5AB}</author>
    <author>tc={08F11448-D40A-47A7-BA7F-95561D0B6180}</author>
    <author>tc={1BE0F13A-E4D6-493C-B604-5ACEB929D945}</author>
    <author>tc={2A174E8D-BCD9-4211-8204-12ED2EEB99F5}</author>
    <author>tc={5B999A6A-2447-4B9B-A4A5-BCF851AA15DB}</author>
    <author>tc={5B14E660-0A22-4A28-8E76-25839A50A817}</author>
    <author>tc={8B21611C-19CF-464C-8044-7459FC2A369A}</author>
    <author>tc={1F9F1A92-AE43-4504-BD2E-5696E7C859ED}</author>
    <author>tc={78691F96-0948-4A01-822F-0E706C080360}</author>
  </authors>
  <commentList>
    <comment ref="BV5" authorId="0" shapeId="0" xr:uid="{9B13EE53-234D-4535-AC77-5231C89FD111}">
      <text>
        <t>[Threaded comment]
Your version of Excel allows you to read this threaded comment; however, any edits to it will get removed if the file is opened in a newer version of Excel. Learn more: https://go.microsoft.com/fwlink/?linkid=870924
Comment:
    Clerk salary
21.52 x 3.5% = £22.27
70hours  x 22.27 per hour x 12 months = 18706.80 
Rec Grd salary = 10*22.27*12  = £2672.40
Total clerk salary = £21379.20</t>
      </text>
    </comment>
    <comment ref="CM5" authorId="1" shapeId="0" xr:uid="{72D2077F-5076-46A8-BA3C-B2CCD2FD6EE6}">
      <text>
        <t xml:space="preserve">[Threaded comment]
Your version of Excel allows you to read this threaded comment; however, any edits to it will get removed if the file is opened in a newer version of Excel. Learn more: https://go.microsoft.com/fwlink/?linkid=870924
Comment:
    What is this for?
</t>
      </text>
    </comment>
    <comment ref="BS6" authorId="2" shapeId="0" xr:uid="{CE517984-0A76-4936-80BF-AC0EB3154379}">
      <text>
        <t xml:space="preserve">[Threaded comment]
Your version of Excel allows you to read this threaded comment; however, any edits to it will get removed if the file is opened in a newer version of Excel. Learn more: https://go.microsoft.com/fwlink/?linkid=870924
Comment:
    Based onfull 80 hours monthly = 21.52 x 80 x5mths = £1291.20 for 5 remaining months
</t>
      </text>
    </comment>
    <comment ref="BV6" authorId="3" shapeId="0" xr:uid="{F33F296A-EA1A-4A1F-B3C3-4A20400B6A13}">
      <text>
        <t>[Threaded comment]
Your version of Excel allows you to read this threaded comment; however, any edits to it will get removed if the file is opened in a newer version of Excel. Learn more: https://go.microsoft.com/fwlink/?linkid=870924
Comment:
    21.52 x 3.5% cost of living = £22.27
22.27 x 80hours x 12 months = £21379.20
21379.20 - 5000 NI allowance - £16379.20
16379.20 x 15% NI = £2456.88</t>
      </text>
    </comment>
    <comment ref="BS7" authorId="4" shapeId="0" xr:uid="{91703872-4D1D-4102-B7CE-D0519167F5AB}">
      <text>
        <t>[Threaded comment]
Your version of Excel allows you to read this threaded comment; however, any edits to it will get removed if the file is opened in a newer version of Excel. Learn more: https://go.microsoft.com/fwlink/?linkid=870924
Comment:
    £2540.20 RG Clerk salary</t>
      </text>
    </comment>
    <comment ref="CM7" authorId="5" shapeId="0" xr:uid="{08F11448-D40A-47A7-BA7F-95561D0B6180}">
      <text>
        <t>[Threaded comment]
Your version of Excel allows you to read this threaded comment; however, any edits to it will get removed if the file is opened in a newer version of Excel. Learn more: https://go.microsoft.com/fwlink/?linkid=870924
Comment:
    Spent on footpath &amp; rec grd improvs</t>
      </text>
    </comment>
    <comment ref="CM8" authorId="6" shapeId="0" xr:uid="{1BE0F13A-E4D6-493C-B604-5ACEB929D945}">
      <text>
        <t xml:space="preserve">[Threaded comment]
Your version of Excel allows you to read this threaded comment; however, any edits to it will get removed if the file is opened in a newer version of Excel. Learn more: https://go.microsoft.com/fwlink/?linkid=870924
Comment:
    Spent on footpath &amp; rec grd improvs
</t>
      </text>
    </comment>
    <comment ref="CP8" authorId="7" shapeId="0" xr:uid="{2A174E8D-BCD9-4211-8204-12ED2EEB99F5}">
      <text>
        <t xml:space="preserve">[Threaded comment]
Your version of Excel allows you to read this threaded comment; however, any edits to it will get removed if the file is opened in a newer version of Excel. Learn more: https://go.microsoft.com/fwlink/?linkid=870924
Comment:
    Towards footpath &amp; rec grd improvs
</t>
      </text>
    </comment>
    <comment ref="BV15" authorId="8" shapeId="0" xr:uid="{5B999A6A-2447-4B9B-A4A5-BCF851AA15DB}">
      <text>
        <t>[Threaded comment]
Your version of Excel allows you to read this threaded comment; however, any edits to it will get removed if the file is opened in a newer version of Excel. Learn more: https://go.microsoft.com/fwlink/?linkid=870924
Comment:
    Current cost plus 10%</t>
      </text>
    </comment>
    <comment ref="BV19" authorId="9" shapeId="0" xr:uid="{5B14E660-0A22-4A28-8E76-25839A50A817}">
      <text>
        <t>[Threaded comment]
Your version of Excel allows you to read this threaded comment; however, any edits to it will get removed if the file is opened in a newer version of Excel. Learn more: https://go.microsoft.com/fwlink/?linkid=870924
Comment:
    £175 per day x 10% increase = £192.50 x 52 wks = £10,010</t>
      </text>
    </comment>
    <comment ref="BS24" authorId="10" shapeId="0" xr:uid="{8B21611C-19CF-464C-8044-7459FC2A369A}">
      <text>
        <t>[Threaded comment]
Your version of Excel allows you to read this threaded comment; however, any edits to it will get removed if the file is opened in a newer version of Excel. Learn more: https://go.microsoft.com/fwlink/?linkid=870924
Comment:
    Includes £2540.20 clerk salary (RG)</t>
      </text>
    </comment>
    <comment ref="BV24" authorId="11" shapeId="0" xr:uid="{1F9F1A92-AE43-4504-BD2E-5696E7C859ED}">
      <text>
        <t>[Threaded comment]
Your version of Excel allows you to read this threaded comment; however, any edits to it will get removed if the file is opened in a newer version of Excel. Learn more: https://go.microsoft.com/fwlink/?linkid=870924
Comment:
    Grant figure includes clerk salary @ 10hrs x £22.27 x 12 mths (£2672.40)</t>
      </text>
    </comment>
    <comment ref="BY24" authorId="12" shapeId="0" xr:uid="{78691F96-0948-4A01-822F-0E706C080360}">
      <text>
        <t>[Threaded comment]
Your version of Excel allows you to read this threaded comment; however, any edits to it will get removed if the file is opened in a newer version of Excel. Learn more: https://go.microsoft.com/fwlink/?linkid=870924
Comment:
    Balance of rec grd expenditure after using earmarked funds balance</t>
      </text>
    </comment>
  </commentList>
</comments>
</file>

<file path=xl/sharedStrings.xml><?xml version="1.0" encoding="utf-8"?>
<sst xmlns="http://schemas.openxmlformats.org/spreadsheetml/2006/main" count="2096" uniqueCount="1361">
  <si>
    <t>2015 / 2016</t>
  </si>
  <si>
    <t>2016 / 2017</t>
  </si>
  <si>
    <t>2017 / 2018</t>
  </si>
  <si>
    <t>Actual 2018 / 2019</t>
  </si>
  <si>
    <t>2018 / 2019</t>
  </si>
  <si>
    <t>2019 / 2020</t>
  </si>
  <si>
    <t>Precept</t>
  </si>
  <si>
    <t>VAT Reclaimable current yr</t>
  </si>
  <si>
    <t>Change to previous yr</t>
  </si>
  <si>
    <t>Shown as percentage increase</t>
  </si>
  <si>
    <t>(3.5% Inc to household)</t>
  </si>
  <si>
    <t>Lakefields</t>
  </si>
  <si>
    <t>Expenditure</t>
  </si>
  <si>
    <t>Projected</t>
  </si>
  <si>
    <t>Actual</t>
  </si>
  <si>
    <t xml:space="preserve">Projected </t>
  </si>
  <si>
    <t xml:space="preserve">Actual </t>
  </si>
  <si>
    <t>Budget</t>
  </si>
  <si>
    <t>Actual 12mth</t>
  </si>
  <si>
    <t>Total</t>
  </si>
  <si>
    <t>2016/2017</t>
  </si>
  <si>
    <t>percentage</t>
  </si>
  <si>
    <t>YTD ACTUAL</t>
  </si>
  <si>
    <t>%</t>
  </si>
  <si>
    <t>YTD Actual</t>
  </si>
  <si>
    <t>017/2018</t>
  </si>
  <si>
    <t>Comments 2019 2020</t>
  </si>
  <si>
    <t>2010/11</t>
  </si>
  <si>
    <t xml:space="preserve"> 2011/12</t>
  </si>
  <si>
    <t>2011/12</t>
  </si>
  <si>
    <t>2012/13</t>
  </si>
  <si>
    <t>2013/14</t>
  </si>
  <si>
    <t xml:space="preserve"> 2013/14</t>
  </si>
  <si>
    <t>2014/15</t>
  </si>
  <si>
    <t>2014/2015</t>
  </si>
  <si>
    <t>2015/16</t>
  </si>
  <si>
    <t>2015/2016</t>
  </si>
  <si>
    <t>c/d and Adjustments</t>
  </si>
  <si>
    <t>Total + c/d adj</t>
  </si>
  <si>
    <t>y/e adj</t>
  </si>
  <si>
    <t>Total at 12mths + y/e adj</t>
  </si>
  <si>
    <t>of budgeted</t>
  </si>
  <si>
    <t>2017/2018</t>
  </si>
  <si>
    <t>July 31st 2017</t>
  </si>
  <si>
    <t>On target</t>
  </si>
  <si>
    <t>Nov 30th 2017</t>
  </si>
  <si>
    <t>30/09/2018          £</t>
  </si>
  <si>
    <t>30/09/2018         %</t>
  </si>
  <si>
    <t>NOTES</t>
  </si>
  <si>
    <t>2019/2020</t>
  </si>
  <si>
    <t>2019/20</t>
  </si>
  <si>
    <t>Grass Cutting</t>
  </si>
  <si>
    <t>310.88 billed to HWCCC</t>
  </si>
  <si>
    <t>Earmarked Funds</t>
  </si>
  <si>
    <t>Salary Clerk</t>
  </si>
  <si>
    <t xml:space="preserve"> </t>
  </si>
  <si>
    <t>Office including postage</t>
  </si>
  <si>
    <t>New laptop?</t>
  </si>
  <si>
    <t>Contingency</t>
  </si>
  <si>
    <t>Auditor</t>
  </si>
  <si>
    <t>160 Accrued for 2015 / 2016  Accrue 370 2017/2018</t>
  </si>
  <si>
    <t>Committee Room Rent</t>
  </si>
  <si>
    <t>Mileage</t>
  </si>
  <si>
    <t>Cllr Exps/training</t>
  </si>
  <si>
    <t>Insurance</t>
  </si>
  <si>
    <t>SALC</t>
  </si>
  <si>
    <t>Grants</t>
  </si>
  <si>
    <t>3718.51 Accrued for 2015/2016</t>
  </si>
  <si>
    <t>Lengthsman/ Parish Ranger</t>
  </si>
  <si>
    <t>Maintenance (incl rec Grd)</t>
  </si>
  <si>
    <t>Vat</t>
  </si>
  <si>
    <t>website</t>
  </si>
  <si>
    <t>48 month contract renewal</t>
  </si>
  <si>
    <t>2109 Lakefields, 3268.02 Defibrillators &amp; Cabinets</t>
  </si>
  <si>
    <t>262.50 x 12=3150 (P sandford sal)</t>
  </si>
  <si>
    <t>2500 transferred from budget to Rec Grd 8.4.16</t>
  </si>
  <si>
    <t>New Pavilion plans / sketches</t>
  </si>
  <si>
    <t>Miscellaneous</t>
  </si>
  <si>
    <t>Not budgeted for</t>
  </si>
  <si>
    <t>Yeovil sign / Westland contribution / defib elec Village hall</t>
  </si>
  <si>
    <t>grant from hwccc *</t>
  </si>
  <si>
    <t>Precept (includes grant)</t>
  </si>
  <si>
    <t>2018/2019</t>
  </si>
  <si>
    <t>Ref:</t>
  </si>
  <si>
    <t>Date</t>
  </si>
  <si>
    <t>VAT Reg</t>
  </si>
  <si>
    <t>Detail</t>
  </si>
  <si>
    <t>Debit</t>
  </si>
  <si>
    <t>Credit</t>
  </si>
  <si>
    <t>Balance</t>
  </si>
  <si>
    <t>check</t>
  </si>
  <si>
    <t>VAT</t>
  </si>
  <si>
    <t>Ranger</t>
  </si>
  <si>
    <t>Salaries</t>
  </si>
  <si>
    <t xml:space="preserve"> Office</t>
  </si>
  <si>
    <t>Website</t>
  </si>
  <si>
    <t>Training</t>
  </si>
  <si>
    <t>Ins</t>
  </si>
  <si>
    <t>Mtgs</t>
  </si>
  <si>
    <t>GRANTS</t>
  </si>
  <si>
    <t>General Maint</t>
  </si>
  <si>
    <t>Acquasition of new assets</t>
  </si>
  <si>
    <t>Misc</t>
  </si>
  <si>
    <t>GRANT to Rec Grnd</t>
  </si>
  <si>
    <t>TOTALS</t>
  </si>
  <si>
    <t>Cashbook</t>
  </si>
  <si>
    <t>Reconciled cash book</t>
  </si>
  <si>
    <t>West Coker Deposit Account</t>
  </si>
  <si>
    <t>Paid In</t>
  </si>
  <si>
    <t>Paid out</t>
  </si>
  <si>
    <t>Deposit Account Statement</t>
  </si>
  <si>
    <t>Current Account Statement</t>
  </si>
  <si>
    <t>Reconciled bank balance to cash book</t>
  </si>
  <si>
    <t xml:space="preserve">Total Balance of Accounts </t>
  </si>
  <si>
    <t>Cashbook Current</t>
  </si>
  <si>
    <t>Cashbook Deposit</t>
  </si>
  <si>
    <t>Plus Income to date</t>
  </si>
  <si>
    <t>Less Expenses to date</t>
  </si>
  <si>
    <t>YTD 31/03/2019    %</t>
  </si>
  <si>
    <t>Employer contribution to Pension</t>
  </si>
  <si>
    <t>Earmarked</t>
  </si>
  <si>
    <t>Supplier</t>
  </si>
  <si>
    <t xml:space="preserve">VAT </t>
  </si>
  <si>
    <t>Kate Fullerton</t>
  </si>
  <si>
    <t>Claim for reimbursements</t>
  </si>
  <si>
    <t>YTD 31/07/2019        £</t>
  </si>
  <si>
    <t>YTD 31/07/2019       %</t>
  </si>
  <si>
    <t>Pension</t>
  </si>
  <si>
    <t>S137</t>
  </si>
  <si>
    <t>Grants S137</t>
  </si>
  <si>
    <t>Office Equipment</t>
  </si>
  <si>
    <t>YTD 31/10/2019        £</t>
  </si>
  <si>
    <t>YTD 31/010/2019       %</t>
  </si>
  <si>
    <t>Sec 137 (Grants)</t>
  </si>
  <si>
    <t>Difference</t>
  </si>
  <si>
    <t>Actual spend</t>
  </si>
  <si>
    <t>Percentage of budget spent</t>
  </si>
  <si>
    <t>** over as I've included earmarked funds expenditure for WCCF £6612.40</t>
  </si>
  <si>
    <t xml:space="preserve">cost per D household </t>
  </si>
  <si>
    <t>Grant from central g'ment</t>
  </si>
  <si>
    <t>Number of type D households</t>
  </si>
  <si>
    <t>Detail payment</t>
  </si>
  <si>
    <t>Computer software</t>
  </si>
  <si>
    <t>Receipt</t>
  </si>
  <si>
    <t>Estimated expenditure from 1/11/19 - 31/3/20</t>
  </si>
  <si>
    <t>Estimated TOTAL expenditure at year end 31/3/20</t>
  </si>
  <si>
    <t>ESTIMATED YTD 31/03/2020       %</t>
  </si>
  <si>
    <t>Total earmarked funds</t>
  </si>
  <si>
    <t>Precept amount</t>
  </si>
  <si>
    <t>wccf earmarked</t>
  </si>
  <si>
    <t>complete</t>
  </si>
  <si>
    <t>NOTES on ACTUAL expenditure  2019 / 2020</t>
  </si>
  <si>
    <t>Less reclaimable VAT</t>
  </si>
  <si>
    <t>Grant to Recreation Grd for Children</t>
  </si>
  <si>
    <t>2020/21</t>
  </si>
  <si>
    <t>YTD %</t>
  </si>
  <si>
    <t>2020 / 2021</t>
  </si>
  <si>
    <t>Employer contribution to NI</t>
  </si>
  <si>
    <t xml:space="preserve"> 2020/21</t>
  </si>
  <si>
    <t>Trees</t>
  </si>
  <si>
    <t>YTD 31/11/2020</t>
  </si>
  <si>
    <t>2021 / 2022</t>
  </si>
  <si>
    <t>.</t>
  </si>
  <si>
    <t xml:space="preserve">YTD </t>
  </si>
  <si>
    <t>TALKTALK</t>
  </si>
  <si>
    <t>Total bill</t>
  </si>
  <si>
    <t>WCPC @ 57%</t>
  </si>
  <si>
    <t>O2 Mobile</t>
  </si>
  <si>
    <t>Phone</t>
  </si>
  <si>
    <t>Internet</t>
  </si>
  <si>
    <t>Description</t>
  </si>
  <si>
    <t>Octopus</t>
  </si>
  <si>
    <t>Electricity/gas</t>
  </si>
  <si>
    <t>WCPC hours 45/365 = 12.32876%</t>
  </si>
  <si>
    <t>Office space</t>
  </si>
  <si>
    <t>Storage space</t>
  </si>
  <si>
    <t>45 WCPC day hours/365 hours a month (12hours x 365days / 12 months = 365 hours a month)</t>
  </si>
  <si>
    <t>2021/22</t>
  </si>
  <si>
    <t>Total funds in bank Apr 1st 2021 (estimated)</t>
  </si>
  <si>
    <t>VAT refund due 2021</t>
  </si>
  <si>
    <t>Precept 21/22</t>
  </si>
  <si>
    <t>% of budget</t>
  </si>
  <si>
    <t>Budgeted for new pavilion</t>
  </si>
  <si>
    <t>Earmarked for pavilion</t>
  </si>
  <si>
    <t>Pound refurbishment</t>
  </si>
  <si>
    <t>SIDs</t>
  </si>
  <si>
    <t>Net Assets</t>
  </si>
  <si>
    <t>2014 / 2015</t>
  </si>
  <si>
    <t>2013 / 2014</t>
  </si>
  <si>
    <t>2012 / 2013</t>
  </si>
  <si>
    <t>Provision for PWLB loan repayment</t>
  </si>
  <si>
    <t>New Pavilion c/o</t>
  </si>
  <si>
    <t>Play equipment c/o</t>
  </si>
  <si>
    <t>WCCF c/o</t>
  </si>
  <si>
    <t>YTD spend</t>
  </si>
  <si>
    <t>Bank Charges</t>
  </si>
  <si>
    <t>Earmarked funds</t>
  </si>
  <si>
    <t>Stamps</t>
  </si>
  <si>
    <t>Defibrillator spares</t>
  </si>
  <si>
    <t>WFH</t>
  </si>
  <si>
    <t>Less Earmarked (non budgeted items)</t>
  </si>
  <si>
    <t>% of budget spent YTD</t>
  </si>
  <si>
    <t>Overtime &amp; Employer NI</t>
  </si>
  <si>
    <t>Overtime</t>
  </si>
  <si>
    <t>Internal auditor reduced fee</t>
  </si>
  <si>
    <t>Virtual meetings</t>
  </si>
  <si>
    <t>combined policy with Rec Trust</t>
  </si>
  <si>
    <t>PAID for year</t>
  </si>
  <si>
    <t>Grants budget</t>
  </si>
  <si>
    <t>Due Nov</t>
  </si>
  <si>
    <t>inc 3% increase</t>
  </si>
  <si>
    <t>2022/23</t>
  </si>
  <si>
    <t>Notes on YTD</t>
  </si>
  <si>
    <t>Notes on budget 2022/23</t>
  </si>
  <si>
    <t>Free trees?</t>
  </si>
  <si>
    <t>Additional allocation 22/23</t>
  </si>
  <si>
    <t>2022 / 2023</t>
  </si>
  <si>
    <t>20.3% of 12k</t>
  </si>
  <si>
    <t>7.4hrs @ £21 + Bunford Heights(mthly)?</t>
  </si>
  <si>
    <t>Example</t>
  </si>
  <si>
    <t>Annually billed</t>
  </si>
  <si>
    <t>4 years hosting exp - 11/2025</t>
  </si>
  <si>
    <t>wfh exp</t>
  </si>
  <si>
    <t>o/t and payscale (17.10/hr) inc</t>
  </si>
  <si>
    <t>wfh 420/yr</t>
  </si>
  <si>
    <t>£3150 caretaker</t>
  </si>
  <si>
    <t>Amended since hard copies printed</t>
  </si>
  <si>
    <t>Environment projects</t>
  </si>
  <si>
    <t>10.11.21</t>
  </si>
  <si>
    <t>Received</t>
  </si>
  <si>
    <t>PWLB Loan</t>
  </si>
  <si>
    <t>Loan admin fee</t>
  </si>
  <si>
    <t xml:space="preserve">Debit </t>
  </si>
  <si>
    <t>PWLB Repayments -Loan Account</t>
  </si>
  <si>
    <t>Locum clerk</t>
  </si>
  <si>
    <t>2021/2022</t>
  </si>
  <si>
    <t>Deposit</t>
  </si>
  <si>
    <t>PWLB Cash Account</t>
  </si>
  <si>
    <t>YTD</t>
  </si>
  <si>
    <t>New Pavilion Project</t>
  </si>
  <si>
    <t>Less Uncleared Cheques:</t>
  </si>
  <si>
    <t>Plus unbanked receipts</t>
  </si>
  <si>
    <t>% spent YTD</t>
  </si>
  <si>
    <t>2023/24</t>
  </si>
  <si>
    <t>Play/Fitness equipment</t>
  </si>
  <si>
    <t>Total Earmarked Funds</t>
  </si>
  <si>
    <t>c/o</t>
  </si>
  <si>
    <t>Ropewalker publication</t>
  </si>
  <si>
    <t>Notes:</t>
  </si>
  <si>
    <t>LCNs Expenditure on shortfall of services</t>
  </si>
  <si>
    <t>Electric storage battery</t>
  </si>
  <si>
    <t>PWLB Loan funds c/o</t>
  </si>
  <si>
    <t>Funds can only be spent on new pavilion project</t>
  </si>
  <si>
    <t>S106 Commuted sums JP</t>
  </si>
  <si>
    <t>Funds can only be used on Maint &amp; Improvement JP</t>
  </si>
  <si>
    <t>Cllr Mileage</t>
  </si>
  <si>
    <t>YTD                         2023/24</t>
  </si>
  <si>
    <t>Notes 23/24</t>
  </si>
  <si>
    <t>All Rec Grd Grant</t>
  </si>
  <si>
    <t>2024/25</t>
  </si>
  <si>
    <t>Notes 24/25</t>
  </si>
  <si>
    <t>Add to Rec Grant</t>
  </si>
  <si>
    <t>31/11/2023</t>
  </si>
  <si>
    <t xml:space="preserve">Estimated </t>
  </si>
  <si>
    <t>Budget spent</t>
  </si>
  <si>
    <t>Internal £280, External £420 Expenditure less than £200k</t>
  </si>
  <si>
    <t>Dawe's grant?</t>
  </si>
  <si>
    <t>Plus 15%</t>
  </si>
  <si>
    <t>NEW PROJECTS</t>
  </si>
  <si>
    <t>CLLR'S BUDGET</t>
  </si>
  <si>
    <t>CLERK'S BUDGET</t>
  </si>
  <si>
    <t>VAT refund due for 2023/24</t>
  </si>
  <si>
    <t>2024/2025</t>
  </si>
  <si>
    <t>Subject to change</t>
  </si>
  <si>
    <t>Draft Budget</t>
  </si>
  <si>
    <t>Dec - March</t>
  </si>
  <si>
    <t>Precept 24/25</t>
  </si>
  <si>
    <t>Jubilee Pavilion Sinking Fund (consist of some S106)</t>
  </si>
  <si>
    <t>Total funds in bank Apr 1st 2024 (estimated)</t>
  </si>
  <si>
    <t>3 x noticeboards</t>
  </si>
  <si>
    <t>Ringfenced S106 funds OF £14768.20 for maintenance and improvements.  CB will produce a sinking fund schedule for 25 yrs</t>
  </si>
  <si>
    <t>Remaining pavilion project budget (18178.66 PWLB funds) Rec Grd DRAINAGE?? SOLAR PANEL Protection</t>
  </si>
  <si>
    <t>Pathway to BMX track? New equipment?</t>
  </si>
  <si>
    <t>could potentially use towards emptying dog poo bins, drain clearance etc and service shortages from SC/SSDC</t>
  </si>
  <si>
    <t>Unlikely now but will leave on for this year but perhaps remove 2025/26</t>
  </si>
  <si>
    <t>Another half SID?  BSPC? Spare SID batteries</t>
  </si>
  <si>
    <t>GRANT Rec Grnd Clerk</t>
  </si>
  <si>
    <t>Grant to Rec Grnd Caretaker</t>
  </si>
  <si>
    <t>£80 hours backpay (80 x£1). Full yr = 10hrs x 20.37 x 12mth = 2444.40</t>
  </si>
  <si>
    <t>4 mths at 70 hrs @ £20.37=5703.60 + £1 backdated payrise on hrs worked to 31/11/23 = 540.62+ holiday accrual to 31/11/23 not taken (to be paid) = 23.55 hrs&amp;£20.37 = £479.71</t>
  </si>
  <si>
    <t>Grant to Rec Ground  Salary Rec Grd Clerk</t>
  </si>
  <si>
    <t>Grant figure includes clerk salary @ 10hrs x £22 x 12 mths (£2640.00)</t>
  </si>
  <si>
    <t>Church removed</t>
  </si>
  <si>
    <t>Ranger continue?  Extend to Bunford? New scheme?</t>
  </si>
  <si>
    <r>
      <t xml:space="preserve">Total clerk salary = 80*£22*12 includes potential pay increment (63p) &amp; cost of living rise (£1) + o/t allowance (30 hrs per yr) = </t>
    </r>
    <r>
      <rPr>
        <b/>
        <i/>
        <u/>
        <sz val="11"/>
        <color theme="1"/>
        <rFont val="Calibri"/>
        <family val="2"/>
        <scheme val="minor"/>
      </rPr>
      <t>21780.00</t>
    </r>
    <r>
      <rPr>
        <i/>
        <sz val="11"/>
        <color theme="1"/>
        <rFont val="Calibri"/>
        <family val="2"/>
        <scheme val="minor"/>
      </rPr>
      <t>.  Rec Grd = 10 hours &amp; £22 x 12 mths.  PC = 70 x £22 x 12 + o/t 30 x £22</t>
    </r>
  </si>
  <si>
    <t>22.3% of basic £21780.00</t>
  </si>
  <si>
    <t>Grant to Rec Grd WIFI</t>
  </si>
  <si>
    <t>Grant to Rec Grd Grass cutting</t>
  </si>
  <si>
    <t>Rec Grd Insurance</t>
  </si>
  <si>
    <t>WCCH</t>
  </si>
  <si>
    <r>
      <t>(Local Government Finance Act 1992 (Section 41) - Parish/Town/City Council Precepts</t>
    </r>
    <r>
      <rPr>
        <sz val="16"/>
        <color theme="1"/>
        <rFont val="Arial"/>
        <family val="2"/>
      </rPr>
      <t>)</t>
    </r>
  </si>
  <si>
    <t>Please complete the shaded boxes</t>
  </si>
  <si>
    <t>From Precepting body</t>
  </si>
  <si>
    <t>West Coker</t>
  </si>
  <si>
    <t>Please choose your authority from the drop down list</t>
  </si>
  <si>
    <t xml:space="preserve">Difference </t>
  </si>
  <si>
    <t>Difference %</t>
  </si>
  <si>
    <t>Tax Base</t>
  </si>
  <si>
    <t xml:space="preserve">Band D Precept </t>
  </si>
  <si>
    <t>Payment Date</t>
  </si>
  <si>
    <t>Precepts over £140,000</t>
  </si>
  <si>
    <t>If the Precept requirement is greater than £140,000.00 please provide details below.</t>
  </si>
  <si>
    <t>Expenditure Item/Service</t>
  </si>
  <si>
    <t>Amount</t>
  </si>
  <si>
    <t>BACS payment details</t>
  </si>
  <si>
    <t>PLEASE ENTER ONLY DETAILS WHICH HAVE CHANGED SINCE LAST YEAR</t>
  </si>
  <si>
    <t xml:space="preserve">1.   BANK DETAILS  </t>
  </si>
  <si>
    <t>Bank Name</t>
  </si>
  <si>
    <t>Sort Code</t>
  </si>
  <si>
    <t>-</t>
  </si>
  <si>
    <t>Account Number</t>
  </si>
  <si>
    <t>Account Ref/Name</t>
  </si>
  <si>
    <t>Branch Address</t>
  </si>
  <si>
    <t>2.  REMITTANCE ADVICE OF PAYMENT TO</t>
  </si>
  <si>
    <t>Clerk's name</t>
  </si>
  <si>
    <t>e-mail</t>
  </si>
  <si>
    <t>address</t>
  </si>
  <si>
    <t>Authorisation</t>
  </si>
  <si>
    <t xml:space="preserve">Authorised at the meeting of the council Held on </t>
  </si>
  <si>
    <t>date</t>
  </si>
  <si>
    <t xml:space="preserve">Authorised by </t>
  </si>
  <si>
    <t>designation</t>
  </si>
  <si>
    <t>E-Mail Address for future correspondence if preferred:</t>
  </si>
  <si>
    <t>Return Form</t>
  </si>
  <si>
    <t xml:space="preserve">Please return form to </t>
  </si>
  <si>
    <t>parish.precepts@somerset.gov.uk</t>
  </si>
  <si>
    <t>No later than (noon):</t>
  </si>
  <si>
    <t>Ashwick</t>
  </si>
  <si>
    <t>Baltonsborough</t>
  </si>
  <si>
    <t>Batcombe</t>
  </si>
  <si>
    <t>Beckington</t>
  </si>
  <si>
    <t>Berkley</t>
  </si>
  <si>
    <t>Binegar</t>
  </si>
  <si>
    <t>Buckland Dinham</t>
  </si>
  <si>
    <t>Butleigh</t>
  </si>
  <si>
    <t>Chewton Mendip</t>
  </si>
  <si>
    <t>Chilcompton</t>
  </si>
  <si>
    <t>Coleford</t>
  </si>
  <si>
    <t>Cranmore</t>
  </si>
  <si>
    <t>Croscombe</t>
  </si>
  <si>
    <t>Ditcheat</t>
  </si>
  <si>
    <t>Doulting</t>
  </si>
  <si>
    <t>Downhead</t>
  </si>
  <si>
    <t>East Pennard</t>
  </si>
  <si>
    <t>Emborough</t>
  </si>
  <si>
    <t>Evercreech</t>
  </si>
  <si>
    <t>Frome</t>
  </si>
  <si>
    <t>Glastonbury</t>
  </si>
  <si>
    <t>Godney</t>
  </si>
  <si>
    <t>Great Elm</t>
  </si>
  <si>
    <t>Hemington</t>
  </si>
  <si>
    <t>Holcombe</t>
  </si>
  <si>
    <t>Kilmersdon</t>
  </si>
  <si>
    <t>Lamyatt</t>
  </si>
  <si>
    <t>Leigh on Mendip</t>
  </si>
  <si>
    <t>Litton</t>
  </si>
  <si>
    <t>Lullington</t>
  </si>
  <si>
    <t>Lydford on Fosse</t>
  </si>
  <si>
    <t>Meare</t>
  </si>
  <si>
    <t>Mells</t>
  </si>
  <si>
    <t>Milton Clevedon</t>
  </si>
  <si>
    <t>North Wootton</t>
  </si>
  <si>
    <t>Norton St Philip</t>
  </si>
  <si>
    <t>Nunney</t>
  </si>
  <si>
    <t>Pilton</t>
  </si>
  <si>
    <t>Priddy</t>
  </si>
  <si>
    <t>Pylle</t>
  </si>
  <si>
    <t>Rode</t>
  </si>
  <si>
    <t>Rodney Stoke</t>
  </si>
  <si>
    <t>Selwood</t>
  </si>
  <si>
    <t>Sharpham</t>
  </si>
  <si>
    <t>Shepton Mallet</t>
  </si>
  <si>
    <t>St Cuthbert Out</t>
  </si>
  <si>
    <t>Stoke St Michael</t>
  </si>
  <si>
    <t>Ston Easton</t>
  </si>
  <si>
    <t>Stratton on the Fosse</t>
  </si>
  <si>
    <t>Street</t>
  </si>
  <si>
    <t>Tellisford</t>
  </si>
  <si>
    <t>Trudoxhill</t>
  </si>
  <si>
    <t>Upton Noble</t>
  </si>
  <si>
    <t>Walton</t>
  </si>
  <si>
    <t>Wanstrow</t>
  </si>
  <si>
    <t>Wells</t>
  </si>
  <si>
    <t>West Bradley</t>
  </si>
  <si>
    <t>Westbury Sub Mendip</t>
  </si>
  <si>
    <t>West Pennard</t>
  </si>
  <si>
    <t>Whatley</t>
  </si>
  <si>
    <t>Witham Friary</t>
  </si>
  <si>
    <t>Wookey</t>
  </si>
  <si>
    <t>Ashcott</t>
  </si>
  <si>
    <t>Axbridge</t>
  </si>
  <si>
    <t>Badgworth</t>
  </si>
  <si>
    <t>Bawdrip</t>
  </si>
  <si>
    <t>Berrow</t>
  </si>
  <si>
    <t>Brean</t>
  </si>
  <si>
    <t>Brent Knoll</t>
  </si>
  <si>
    <t xml:space="preserve">Bridgwater </t>
  </si>
  <si>
    <t>Bridgwater Without</t>
  </si>
  <si>
    <t>Broomfield</t>
  </si>
  <si>
    <t>Burnham-on-Sea &amp; Highbridge</t>
  </si>
  <si>
    <t>Burnham Without</t>
  </si>
  <si>
    <t>Burtle</t>
  </si>
  <si>
    <t>Cannington</t>
  </si>
  <si>
    <t>Catcott</t>
  </si>
  <si>
    <t>Chapel Allerton</t>
  </si>
  <si>
    <t>Cheddar</t>
  </si>
  <si>
    <t>Chedzoy</t>
  </si>
  <si>
    <t>Chilton Polden</t>
  </si>
  <si>
    <t>Chilton Trinity</t>
  </si>
  <si>
    <t>Compton Bishop</t>
  </si>
  <si>
    <t>Cossington</t>
  </si>
  <si>
    <t>Durleigh</t>
  </si>
  <si>
    <t>East Brent</t>
  </si>
  <si>
    <t>East Huntspill</t>
  </si>
  <si>
    <t>Edington</t>
  </si>
  <si>
    <t>Enmore</t>
  </si>
  <si>
    <t>Fiddington</t>
  </si>
  <si>
    <t>Goathurst</t>
  </si>
  <si>
    <t>Greinton</t>
  </si>
  <si>
    <t>Lympsham</t>
  </si>
  <si>
    <t>Lyng</t>
  </si>
  <si>
    <t>Mark</t>
  </si>
  <si>
    <t>Middlezoy</t>
  </si>
  <si>
    <t>Moorlinch</t>
  </si>
  <si>
    <t>Nether Stowey</t>
  </si>
  <si>
    <t>North Petherton</t>
  </si>
  <si>
    <t>Othery</t>
  </si>
  <si>
    <t>Otterhampton</t>
  </si>
  <si>
    <t>Over Stowey</t>
  </si>
  <si>
    <t>Pawlett</t>
  </si>
  <si>
    <t>Puriton</t>
  </si>
  <si>
    <t>Shapwick</t>
  </si>
  <si>
    <t>Shipham</t>
  </si>
  <si>
    <t>Spaxton</t>
  </si>
  <si>
    <t>Stawell</t>
  </si>
  <si>
    <t>Stockland Bristol</t>
  </si>
  <si>
    <t>Thurloxton</t>
  </si>
  <si>
    <t>Weare</t>
  </si>
  <si>
    <t>Wedmore</t>
  </si>
  <si>
    <t>Wembdon</t>
  </si>
  <si>
    <t>West Huntspill</t>
  </si>
  <si>
    <t>Westonzoyland</t>
  </si>
  <si>
    <t>Woolavington</t>
  </si>
  <si>
    <t>Ash Priors</t>
  </si>
  <si>
    <t>Ashbrittle</t>
  </si>
  <si>
    <t>Bathealton</t>
  </si>
  <si>
    <t>Bicknoller</t>
  </si>
  <si>
    <t>Bishops Hull</t>
  </si>
  <si>
    <t>Bishops Lydeard/Cothelstone</t>
  </si>
  <si>
    <t>Bradford on Tone</t>
  </si>
  <si>
    <t>Brompton Ralph</t>
  </si>
  <si>
    <t>Brompton Regis</t>
  </si>
  <si>
    <t>Brushford</t>
  </si>
  <si>
    <t>Burrowbridge</t>
  </si>
  <si>
    <t>Carhampton</t>
  </si>
  <si>
    <t>Cheddon Fitzpaine</t>
  </si>
  <si>
    <t>Chipstable</t>
  </si>
  <si>
    <t>Churchstanton</t>
  </si>
  <si>
    <t>Clatworthy</t>
  </si>
  <si>
    <t>Combe Florey</t>
  </si>
  <si>
    <t>Corfe</t>
  </si>
  <si>
    <t>Cotford St Luke</t>
  </si>
  <si>
    <t>Creech St Michael</t>
  </si>
  <si>
    <t>Crowcombe</t>
  </si>
  <si>
    <t>Cutcombe</t>
  </si>
  <si>
    <t>Dulverton</t>
  </si>
  <si>
    <t>Dunster</t>
  </si>
  <si>
    <t>Durston</t>
  </si>
  <si>
    <t>East Quantoxhead</t>
  </si>
  <si>
    <t>Elworthy</t>
  </si>
  <si>
    <t>Exford</t>
  </si>
  <si>
    <t>Exmoor</t>
  </si>
  <si>
    <t>Exton</t>
  </si>
  <si>
    <t>Fitzhead</t>
  </si>
  <si>
    <t>Halse</t>
  </si>
  <si>
    <t>Hatch Beauchamp</t>
  </si>
  <si>
    <t>Holford</t>
  </si>
  <si>
    <t>Huish Champflower</t>
  </si>
  <si>
    <t>Kilve</t>
  </si>
  <si>
    <t>Kingston St Mary</t>
  </si>
  <si>
    <t>Langford Budville</t>
  </si>
  <si>
    <t>Luccombe</t>
  </si>
  <si>
    <t>Luxborough</t>
  </si>
  <si>
    <t>Lydeard St Lawrence/Tolland</t>
  </si>
  <si>
    <t>Milverton</t>
  </si>
  <si>
    <t>Minehead</t>
  </si>
  <si>
    <t>Monksilver</t>
  </si>
  <si>
    <t>Neroche</t>
  </si>
  <si>
    <t>Nettlecombe</t>
  </si>
  <si>
    <t>North Curry</t>
  </si>
  <si>
    <t>Norton Fitzwarren</t>
  </si>
  <si>
    <t>Nynehead</t>
  </si>
  <si>
    <t>Oake</t>
  </si>
  <si>
    <t>Oare</t>
  </si>
  <si>
    <t>Old Cleeve</t>
  </si>
  <si>
    <t>Otterford</t>
  </si>
  <si>
    <t>Pitminster</t>
  </si>
  <si>
    <t>Porlock</t>
  </si>
  <si>
    <t>Ruishton/Thornfalcon</t>
  </si>
  <si>
    <t>Sampford Arundel</t>
  </si>
  <si>
    <t>Sampford Brett</t>
  </si>
  <si>
    <t>Selworthy and Minehead Without</t>
  </si>
  <si>
    <t>Skilgate</t>
  </si>
  <si>
    <t>Stawley</t>
  </si>
  <si>
    <t>Stogumber</t>
  </si>
  <si>
    <t>Stogursey</t>
  </si>
  <si>
    <t>Stoke St Gregory</t>
  </si>
  <si>
    <t>Stoke St Mary</t>
  </si>
  <si>
    <t>Stringston</t>
  </si>
  <si>
    <t>Taunton</t>
  </si>
  <si>
    <t>Timberscombe</t>
  </si>
  <si>
    <t>Treborough</t>
  </si>
  <si>
    <t>Trull</t>
  </si>
  <si>
    <t>Upton</t>
  </si>
  <si>
    <t>Watchet</t>
  </si>
  <si>
    <t>Wellington</t>
  </si>
  <si>
    <t>Wellington Without</t>
  </si>
  <si>
    <t>West Bagborough</t>
  </si>
  <si>
    <t>West Buckland</t>
  </si>
  <si>
    <t>West Hatch</t>
  </si>
  <si>
    <t>West Monkton</t>
  </si>
  <si>
    <t>West Quantoxhead</t>
  </si>
  <si>
    <t>Williton</t>
  </si>
  <si>
    <t>Winsford</t>
  </si>
  <si>
    <t>Withycombe</t>
  </si>
  <si>
    <t>Withypool and Hawkridge</t>
  </si>
  <si>
    <t>Wiveliscombe</t>
  </si>
  <si>
    <t>Wootton Courtenay</t>
  </si>
  <si>
    <t>Abbas and Templecombe</t>
  </si>
  <si>
    <t>Aller</t>
  </si>
  <si>
    <t>Ansford</t>
  </si>
  <si>
    <t>Ash</t>
  </si>
  <si>
    <t xml:space="preserve">Ashill </t>
  </si>
  <si>
    <t>Babcary</t>
  </si>
  <si>
    <t>Barrington</t>
  </si>
  <si>
    <t>Barton St. David</t>
  </si>
  <si>
    <t>Barwick &amp; Stoford</t>
  </si>
  <si>
    <t>Beercrocombe</t>
  </si>
  <si>
    <t>Bratton Seymour</t>
  </si>
  <si>
    <t>Brewham</t>
  </si>
  <si>
    <t>Broadway</t>
  </si>
  <si>
    <t>Bruton</t>
  </si>
  <si>
    <t>Brympton</t>
  </si>
  <si>
    <t>Buckland St. Mary</t>
  </si>
  <si>
    <t>Alford (Cary Moor)</t>
  </si>
  <si>
    <t>Lovington (Cary Moor)</t>
  </si>
  <si>
    <t>North Barrow (Cary Moor)</t>
  </si>
  <si>
    <t>South Barrow (Cary Moor)</t>
  </si>
  <si>
    <t>Castle Cary</t>
  </si>
  <si>
    <t>Chaffcombe</t>
  </si>
  <si>
    <t>Chard Town</t>
  </si>
  <si>
    <t>Charlton Horethorne</t>
  </si>
  <si>
    <t>Charltons (The)</t>
  </si>
  <si>
    <t>Charlton Musgrove</t>
  </si>
  <si>
    <t>Chillington</t>
  </si>
  <si>
    <t>Chilthorne Domer</t>
  </si>
  <si>
    <t>Chilton Cantelo &amp; Ashington</t>
  </si>
  <si>
    <t>Chiselborough</t>
  </si>
  <si>
    <t>Closworth</t>
  </si>
  <si>
    <t>Combe St. Nicholas</t>
  </si>
  <si>
    <t>Compton Dundon</t>
  </si>
  <si>
    <t>Compton Pauncefoot &amp; Blackford</t>
  </si>
  <si>
    <t>Corton Denham</t>
  </si>
  <si>
    <t>Crewkerne Town</t>
  </si>
  <si>
    <t>Cricket St. Thomas</t>
  </si>
  <si>
    <t>Cucklington</t>
  </si>
  <si>
    <t>Cudworth</t>
  </si>
  <si>
    <t>Curry Mallet</t>
  </si>
  <si>
    <t>Curry Rivel</t>
  </si>
  <si>
    <t>Dinnington</t>
  </si>
  <si>
    <t>Donyatt</t>
  </si>
  <si>
    <t>Dowlish Wake</t>
  </si>
  <si>
    <t>Drayton</t>
  </si>
  <si>
    <t>East Chinnock</t>
  </si>
  <si>
    <t>East Coker</t>
  </si>
  <si>
    <t>Fivehead &amp; Swell</t>
  </si>
  <si>
    <t>Hambridge &amp; Westport</t>
  </si>
  <si>
    <t>Hardington Mandeville</t>
  </si>
  <si>
    <t>Haselbury Plucknett</t>
  </si>
  <si>
    <t>Henstridge</t>
  </si>
  <si>
    <t>High Ham</t>
  </si>
  <si>
    <t>Hinton St. George</t>
  </si>
  <si>
    <t>Horsington</t>
  </si>
  <si>
    <t>Horton</t>
  </si>
  <si>
    <t>Huish Episcopi</t>
  </si>
  <si>
    <t>Ilchester</t>
  </si>
  <si>
    <t>Ilminster Town</t>
  </si>
  <si>
    <t>Ilton</t>
  </si>
  <si>
    <t>Isle Abbotts</t>
  </si>
  <si>
    <t>Isle Brewers</t>
  </si>
  <si>
    <t>Keinton Mandeville</t>
  </si>
  <si>
    <t>Kingsbury Episcopi</t>
  </si>
  <si>
    <t>Kingsdon</t>
  </si>
  <si>
    <t>Kingstone</t>
  </si>
  <si>
    <t>Kingweston</t>
  </si>
  <si>
    <t>Knowle St. Giles</t>
  </si>
  <si>
    <t>Langport</t>
  </si>
  <si>
    <t>Long Load</t>
  </si>
  <si>
    <t>Long Sutton</t>
  </si>
  <si>
    <t>Lopen</t>
  </si>
  <si>
    <t>Marston Magna</t>
  </si>
  <si>
    <t>Martock</t>
  </si>
  <si>
    <t>Merriott</t>
  </si>
  <si>
    <t>Milborne Port</t>
  </si>
  <si>
    <t>Misterton</t>
  </si>
  <si>
    <t>Montacute</t>
  </si>
  <si>
    <t>Muchelney</t>
  </si>
  <si>
    <t>Mudford</t>
  </si>
  <si>
    <t>North Cadbury</t>
  </si>
  <si>
    <t>Yarlington (North Cadbury)</t>
  </si>
  <si>
    <t>North Perrott</t>
  </si>
  <si>
    <t>Holton (North Vale)</t>
  </si>
  <si>
    <t>Maperton (North Vale)</t>
  </si>
  <si>
    <t>North Cheriton (North Vale)</t>
  </si>
  <si>
    <t>Norton sub Hamdon</t>
  </si>
  <si>
    <t>Odcombe</t>
  </si>
  <si>
    <t>Pen Selwood</t>
  </si>
  <si>
    <t>Pitcombe</t>
  </si>
  <si>
    <t>Pitney</t>
  </si>
  <si>
    <t>Puckington</t>
  </si>
  <si>
    <t>Queen Camel</t>
  </si>
  <si>
    <t>Rimpton</t>
  </si>
  <si>
    <t>Seavington St. Mary</t>
  </si>
  <si>
    <t>Seavington St. Michael</t>
  </si>
  <si>
    <t>Shepton Beauchamp</t>
  </si>
  <si>
    <t>Shepton Montague</t>
  </si>
  <si>
    <t>Somerton</t>
  </si>
  <si>
    <t xml:space="preserve">South Cadbury and Sutton Montis </t>
  </si>
  <si>
    <t>South Petherton</t>
  </si>
  <si>
    <t>Sparkford</t>
  </si>
  <si>
    <t>Stocklinch</t>
  </si>
  <si>
    <t>Stoke sub Hamdon</t>
  </si>
  <si>
    <t>Stoke Trister &amp; Bayford</t>
  </si>
  <si>
    <t>Tatworth and Forton</t>
  </si>
  <si>
    <t>Tintinhull</t>
  </si>
  <si>
    <t>Wambrook</t>
  </si>
  <si>
    <t>Wayford</t>
  </si>
  <si>
    <t>West Camel</t>
  </si>
  <si>
    <t>West &amp; Middle Chinnock</t>
  </si>
  <si>
    <t>West Crewkerne</t>
  </si>
  <si>
    <t>Whitelackington</t>
  </si>
  <si>
    <t>Whitestaunton</t>
  </si>
  <si>
    <t>Wincanton Town</t>
  </si>
  <si>
    <t>Winsham</t>
  </si>
  <si>
    <t xml:space="preserve">Yeovil Town </t>
  </si>
  <si>
    <t>Yeovil Without</t>
  </si>
  <si>
    <t>Yeovilton &amp; District</t>
  </si>
  <si>
    <t>Lloyds Bank PLC</t>
  </si>
  <si>
    <t>O7326642</t>
  </si>
  <si>
    <t>West Coker Parish Council</t>
  </si>
  <si>
    <t>westcokerpc@hotmail.co.uk</t>
  </si>
  <si>
    <t>25 Helena Road, Yeovil, Somerset BA20 2HQ</t>
  </si>
  <si>
    <t>2023/2024</t>
  </si>
  <si>
    <t>JP Consumables</t>
  </si>
  <si>
    <t>Play equip repairs/Insp</t>
  </si>
  <si>
    <t>Rec Grd Grant</t>
  </si>
  <si>
    <t>Repayment of PWLB Interest</t>
  </si>
  <si>
    <t>Repayment of PWLB Capital</t>
  </si>
  <si>
    <t>JP Servicing</t>
  </si>
  <si>
    <t>Box 4</t>
  </si>
  <si>
    <t xml:space="preserve">Salary </t>
  </si>
  <si>
    <t>Box 5</t>
  </si>
  <si>
    <t>PWLB Interest</t>
  </si>
  <si>
    <t>PWLB capital</t>
  </si>
  <si>
    <t xml:space="preserve">Box 6 </t>
  </si>
  <si>
    <t>Other</t>
  </si>
  <si>
    <t>TOTAL EXPENDITURE BOXES FOR AGAR</t>
  </si>
  <si>
    <t>(PURPLE BOXES ABOVE COLUMNS N-AK)</t>
  </si>
  <si>
    <t>BOX 6 OTHER IS THE REMAINDER</t>
  </si>
  <si>
    <t>Bank rec 31/3/24 less below</t>
  </si>
  <si>
    <t>Due 2024/25 VAT Reclaim 2</t>
  </si>
  <si>
    <t>JP Music Licence</t>
  </si>
  <si>
    <t>WEST COKER PARISH COUNCIL</t>
  </si>
  <si>
    <t>INCOME &amp; EXPENDITURE ACCOUNT</t>
  </si>
  <si>
    <t>INCOME</t>
  </si>
  <si>
    <t>SSDC S106 Monies Tennis</t>
  </si>
  <si>
    <t>Bank Interest</t>
  </si>
  <si>
    <t>Wayleave</t>
  </si>
  <si>
    <t>LESS EXPENDITURE</t>
  </si>
  <si>
    <t>(g/cut + maint)</t>
  </si>
  <si>
    <t>Maintenance</t>
  </si>
  <si>
    <t>(wages + hmrc)</t>
  </si>
  <si>
    <t>Staff costs</t>
  </si>
  <si>
    <t>office + website</t>
  </si>
  <si>
    <t>Office Costs</t>
  </si>
  <si>
    <t>New Pavilion</t>
  </si>
  <si>
    <t>Rent (Council Meetings)</t>
  </si>
  <si>
    <t>Parish Ranger Scheme</t>
  </si>
  <si>
    <t>Councillor training</t>
  </si>
  <si>
    <t>Grant to West Coker Recreation Ground</t>
  </si>
  <si>
    <t>Audit Fees</t>
  </si>
  <si>
    <t xml:space="preserve">Health &amp; Safety </t>
  </si>
  <si>
    <t>Play Equipment upgrade</t>
  </si>
  <si>
    <t>SID</t>
  </si>
  <si>
    <t>Assets (salt grit bins)</t>
  </si>
  <si>
    <t>Coronation event</t>
  </si>
  <si>
    <t>SURPLUS(LOSS) FOR THE YEAR</t>
  </si>
  <si>
    <t>CURRENT ASSETS</t>
  </si>
  <si>
    <t>Current account</t>
  </si>
  <si>
    <t>Deposit Account</t>
  </si>
  <si>
    <t>CURRENT LIABILITIES</t>
  </si>
  <si>
    <t>Uncleared cheques</t>
  </si>
  <si>
    <t>Grant received for Covid19 c/o</t>
  </si>
  <si>
    <t>Accruals</t>
  </si>
  <si>
    <t>Audit Costs (Estimated)</t>
  </si>
  <si>
    <t>PWLB capital repayment (4 mths)</t>
  </si>
  <si>
    <t>PWLB loan interest (4 mths)</t>
  </si>
  <si>
    <t>LONG TERM LIABILITIES</t>
  </si>
  <si>
    <t>Balance PWLB Loan (25 years)</t>
  </si>
  <si>
    <t>TOTAL LIABILITIES</t>
  </si>
  <si>
    <t>NET ASSETS</t>
  </si>
  <si>
    <t>GENERAL RESERVES</t>
  </si>
  <si>
    <t>Res balance bt fwd</t>
  </si>
  <si>
    <t>(loss)/ Profit for year</t>
  </si>
  <si>
    <t>balance c/fwd</t>
  </si>
  <si>
    <t>01.04.20</t>
  </si>
  <si>
    <t>31.3.21</t>
  </si>
  <si>
    <t>01.04.21</t>
  </si>
  <si>
    <t>31.3.22</t>
  </si>
  <si>
    <t>01.04.22</t>
  </si>
  <si>
    <t>31.3.23</t>
  </si>
  <si>
    <t>01.04.23</t>
  </si>
  <si>
    <t>31.3.24</t>
  </si>
  <si>
    <t>01.04.24</t>
  </si>
  <si>
    <t>Reverse 2016/2017</t>
  </si>
  <si>
    <t>Accrue 2016/2017</t>
  </si>
  <si>
    <t>Reverse 2017 /2018</t>
  </si>
  <si>
    <t>Accrue 2017 / 2018</t>
  </si>
  <si>
    <t>Reverse 2018 / 2019</t>
  </si>
  <si>
    <t>Accrue 2018 / 2019</t>
  </si>
  <si>
    <t>Reverse 2019 / 2020</t>
  </si>
  <si>
    <t>Accrue 2019 / 2020</t>
  </si>
  <si>
    <t>Reverse 2020/2021</t>
  </si>
  <si>
    <t>Accrue 2020/21</t>
  </si>
  <si>
    <t>Reverse 2021/22</t>
  </si>
  <si>
    <t>Accrue 2021/22</t>
  </si>
  <si>
    <t>Reverse 2022/23</t>
  </si>
  <si>
    <t>Accrue 2022/23</t>
  </si>
  <si>
    <t>Reverse 2023/24</t>
  </si>
  <si>
    <t>Accrue 2023/24</t>
  </si>
  <si>
    <t>Reverse 2024/25</t>
  </si>
  <si>
    <t>opening balance</t>
  </si>
  <si>
    <t>Accruals c/o</t>
  </si>
  <si>
    <t>Grant West Coker Commemoration Hall Fund</t>
  </si>
  <si>
    <t>Safe</t>
  </si>
  <si>
    <t>Front door</t>
  </si>
  <si>
    <t>Grant WC Primary School</t>
  </si>
  <si>
    <t>Queens 90th medals</t>
  </si>
  <si>
    <t>Audit costs</t>
  </si>
  <si>
    <t>PWLB Capital repayments</t>
  </si>
  <si>
    <t>PWLB interest repayments</t>
  </si>
  <si>
    <t>Asset Register</t>
  </si>
  <si>
    <t>Date Acquired</t>
  </si>
  <si>
    <t xml:space="preserve">Description </t>
  </si>
  <si>
    <t>Quantity</t>
  </si>
  <si>
    <t>Unit price</t>
  </si>
  <si>
    <t>Total Value at date of purchase</t>
  </si>
  <si>
    <t>Estimated Current Value</t>
  </si>
  <si>
    <t>Insurance value</t>
  </si>
  <si>
    <t>Asset Sold</t>
  </si>
  <si>
    <t>Asset Disposed</t>
  </si>
  <si>
    <t>2007/8</t>
  </si>
  <si>
    <t>Village Marker Stone</t>
  </si>
  <si>
    <t>Salt Bins</t>
  </si>
  <si>
    <t>27/09/2012</t>
  </si>
  <si>
    <t>Laptop for the clerk</t>
  </si>
  <si>
    <t>23/01/2014</t>
  </si>
  <si>
    <t>Salt Bin</t>
  </si>
  <si>
    <t>31/10/2013</t>
  </si>
  <si>
    <t>Dog foul bin</t>
  </si>
  <si>
    <t>Bus Shelter at The Square</t>
  </si>
  <si>
    <t>Water Fountain (gifted) @ Church Street</t>
  </si>
  <si>
    <t>Defibrillators</t>
  </si>
  <si>
    <t>Bowshers - electrical installation</t>
  </si>
  <si>
    <t>Defibrillator cabinets</t>
  </si>
  <si>
    <t>BHF Defibrillators</t>
  </si>
  <si>
    <t>Metrosigns noticeboards</t>
  </si>
  <si>
    <t>Additions</t>
  </si>
  <si>
    <t>Office chair and footrest</t>
  </si>
  <si>
    <t>Clerk's laptop</t>
  </si>
  <si>
    <t>Storage containers for equipment from pavilion etc.</t>
  </si>
  <si>
    <t>Locks for storage containers above</t>
  </si>
  <si>
    <t>The Parish Pound</t>
  </si>
  <si>
    <t>Storage containers for New Pavilion Project</t>
  </si>
  <si>
    <t>Defibrillator</t>
  </si>
  <si>
    <t>Defibrillator cabinet</t>
  </si>
  <si>
    <t>260L Jubilee Bins</t>
  </si>
  <si>
    <t>2023 / 2024</t>
  </si>
  <si>
    <t>West Coker Road Bus Shelter (gifted by Tilia Homes)</t>
  </si>
  <si>
    <t>Salt grit bins (Bunford Heights)</t>
  </si>
  <si>
    <t>VAT Number</t>
  </si>
  <si>
    <t>Payee</t>
  </si>
  <si>
    <t>Ref</t>
  </si>
  <si>
    <t>Diff</t>
  </si>
  <si>
    <t>Check</t>
  </si>
  <si>
    <t>Item Amount</t>
  </si>
  <si>
    <t>Full Payment</t>
  </si>
  <si>
    <t>Grant to Rec Grd Tenis Courts</t>
  </si>
  <si>
    <t>Employer Pension</t>
  </si>
  <si>
    <t>Employer NI</t>
  </si>
  <si>
    <t>Rec Grant</t>
  </si>
  <si>
    <t>Primary School</t>
  </si>
  <si>
    <t>CAB</t>
  </si>
  <si>
    <t>Church</t>
  </si>
  <si>
    <t>British Legion</t>
  </si>
  <si>
    <t>Carols in the Square</t>
  </si>
  <si>
    <t>Youth Club (S137)</t>
  </si>
  <si>
    <t>WCCF</t>
  </si>
  <si>
    <t>Ropewalker</t>
  </si>
  <si>
    <t>Cricket Club</t>
  </si>
  <si>
    <t>West Coker Scout Grp (S137)</t>
  </si>
  <si>
    <t>West Coker Rec Grd</t>
  </si>
  <si>
    <t>OSR Art Project</t>
  </si>
  <si>
    <t>WC Speedwatch</t>
  </si>
  <si>
    <t>Twine Tots (S137)</t>
  </si>
  <si>
    <t>Flowers Gina (S137)</t>
  </si>
  <si>
    <t>WC PTFA</t>
  </si>
  <si>
    <t>Total:</t>
  </si>
  <si>
    <t>Less earmarked</t>
  </si>
  <si>
    <t>2018/19 grant provision for:</t>
  </si>
  <si>
    <t xml:space="preserve">Earmarked </t>
  </si>
  <si>
    <t>Clerk's Suggestions for:</t>
  </si>
  <si>
    <t>Provision</t>
  </si>
  <si>
    <t>spent</t>
  </si>
  <si>
    <t>provision 19/20</t>
  </si>
  <si>
    <t>Spent 19/20</t>
  </si>
  <si>
    <t>Grant Provision 20/21</t>
  </si>
  <si>
    <t>Earmarked Provision 20/21</t>
  </si>
  <si>
    <t>Spent 20/21</t>
  </si>
  <si>
    <t>Grant Provision 21/22</t>
  </si>
  <si>
    <t>Earmarked Provision 21/22</t>
  </si>
  <si>
    <t>Spent grant 2021/22</t>
  </si>
  <si>
    <t>Spent Earmarked 2021/22</t>
  </si>
  <si>
    <t>Grant Provision 22/23</t>
  </si>
  <si>
    <t>Earmarked Provision 22/23</t>
  </si>
  <si>
    <t>Spent grant 2022/23</t>
  </si>
  <si>
    <t>Spent Earmarked 2022/23</t>
  </si>
  <si>
    <t>Notes</t>
  </si>
  <si>
    <t>Grant Provision 23/24</t>
  </si>
  <si>
    <t>Earmarked Provision 23/24</t>
  </si>
  <si>
    <t>Grant Provision 2024/25</t>
  </si>
  <si>
    <t>Earmarked Provision</t>
  </si>
  <si>
    <t>school</t>
  </si>
  <si>
    <t>They have volunteer maintenance</t>
  </si>
  <si>
    <t xml:space="preserve">Youth Club </t>
  </si>
  <si>
    <t>ECPC hall hire</t>
  </si>
  <si>
    <t>move from budget to earmarked?</t>
  </si>
  <si>
    <t>Scouts</t>
  </si>
  <si>
    <t>West Coker Social Committee</t>
  </si>
  <si>
    <t>WC Rec Ground</t>
  </si>
  <si>
    <t>?+30% for additional running costs?</t>
  </si>
  <si>
    <t>Preschool</t>
  </si>
  <si>
    <t>OSR Projects</t>
  </si>
  <si>
    <t>Flowers Gina</t>
  </si>
  <si>
    <t>New pavilion</t>
  </si>
  <si>
    <t>Play Equipment</t>
  </si>
  <si>
    <t>Boundary Fighting Funds</t>
  </si>
  <si>
    <t>General grant pot</t>
  </si>
  <si>
    <t>jubilee mugs</t>
  </si>
  <si>
    <t xml:space="preserve">Rec Ground Trust </t>
  </si>
  <si>
    <t>Spent Grant 2024/25</t>
  </si>
  <si>
    <t>Spent Earmarked 2024/25</t>
  </si>
  <si>
    <t>2025/26</t>
  </si>
  <si>
    <t>Based on full 80 hours</t>
  </si>
  <si>
    <t>Grant Provision 2025/26</t>
  </si>
  <si>
    <t>Earmarked Provision 2025/26</t>
  </si>
  <si>
    <t>Cricket Practice nets commuted sums (S106)</t>
  </si>
  <si>
    <t>Jubilee Pavilion Sinking Fund</t>
  </si>
  <si>
    <t xml:space="preserve"> CB will produce a sinking fund schedule for 25 yrs</t>
  </si>
  <si>
    <t>S106 Commuted sums Cricket Practice nets</t>
  </si>
  <si>
    <t>Funds can only be used on maint for Cricket practice nets</t>
  </si>
  <si>
    <t>Estimated expenditure 1/11/24 - 31/3/25</t>
  </si>
  <si>
    <t>YTD Actual expenditure 31/10/2024</t>
  </si>
  <si>
    <t>Total estimated expenditure YTD 31/03/2025</t>
  </si>
  <si>
    <t>Paid In Interest</t>
  </si>
  <si>
    <t>BUDGET</t>
  </si>
  <si>
    <t>PC Meeting Room Rent</t>
  </si>
  <si>
    <t>Unity Trust Current Account 20521255</t>
  </si>
  <si>
    <t>Opening Balance as of 1st April 2025</t>
  </si>
  <si>
    <t>K Fullerton - Clerk salary April 2025</t>
  </si>
  <si>
    <t>P Sandford - Caretaker salary April 2025</t>
  </si>
  <si>
    <t>HMRC - PAYE April 2025</t>
  </si>
  <si>
    <t>Brynley Andrews Associates Inv BAA1657 - Sampson's Wood survey</t>
  </si>
  <si>
    <t>Sampson's Wood</t>
  </si>
  <si>
    <t xml:space="preserve">PPL PRS Ltd - Inv SIN2994707 Jubilee Pavilion Music Licence </t>
  </si>
  <si>
    <t>AJM Electrical Services - Inv 8349 JP external lights</t>
  </si>
  <si>
    <t>YTD Actual Expenditure 2024/25</t>
  </si>
  <si>
    <t>PRECEPT REQUEST  2025/26</t>
  </si>
  <si>
    <t>The Council of the above-mentioned Parish/Town/City HEREBY GIVE YOU NOTICE that in respect of the financial year 2025/26 they will require from you the sum of (fill in below) to meet the budget requirement of the Council as calculated under Section 50 of the above Act, and they do accordingly HEREBY REQUIRE you to pay the same.</t>
  </si>
  <si>
    <t xml:space="preserve">Precept requests will be paid in one instalment in April 2025. </t>
  </si>
  <si>
    <t xml:space="preserve">9 High Street, Yeovil, Somerset </t>
  </si>
  <si>
    <t>NB: Please mark the box (X) if the above bank details have changed since the previous year's submission and provide evidence of the new account details for audit purposes</t>
  </si>
  <si>
    <t>2nd January 2025</t>
  </si>
  <si>
    <t>Anita Perry</t>
  </si>
  <si>
    <t>Chairperson</t>
  </si>
  <si>
    <t>31.3.25</t>
  </si>
  <si>
    <t>01.04.2025</t>
  </si>
  <si>
    <t>Accrue 2024/25</t>
  </si>
  <si>
    <t>% spent</t>
  </si>
  <si>
    <t>% Spent</t>
  </si>
  <si>
    <t>Percentage spent v budget</t>
  </si>
  <si>
    <t>Bfwd balance 01.04.2025</t>
  </si>
  <si>
    <t>Account OO420678</t>
  </si>
  <si>
    <t>SALC - Inv 1834 Affiliation fees 25/26</t>
  </si>
  <si>
    <t>25P1</t>
  </si>
  <si>
    <t>25P2</t>
  </si>
  <si>
    <t>25P3</t>
  </si>
  <si>
    <t>25P4</t>
  </si>
  <si>
    <t>25P5</t>
  </si>
  <si>
    <t>25P6</t>
  </si>
  <si>
    <t>25P7</t>
  </si>
  <si>
    <t>25P8</t>
  </si>
  <si>
    <t>25P9</t>
  </si>
  <si>
    <t>25P10</t>
  </si>
  <si>
    <t>25P11</t>
  </si>
  <si>
    <t>K Fullerton - WFH &amp; MS365</t>
  </si>
  <si>
    <t>25P12</t>
  </si>
  <si>
    <t>Somerset Council Pension Fund - Clerk pension Apr25</t>
  </si>
  <si>
    <t>K Fullerton - Clerk salary May 2025</t>
  </si>
  <si>
    <t>WFH May &amp; MS365</t>
  </si>
  <si>
    <t>Tesco - stationery</t>
  </si>
  <si>
    <t>P Sandford - Caretaker salary May 2025</t>
  </si>
  <si>
    <t>HMRC - PAYE May 2025</t>
  </si>
  <si>
    <t>Somerset Council Pension Fund - Clerk pension May 25</t>
  </si>
  <si>
    <t>Premier Landscaping - Ranger March</t>
  </si>
  <si>
    <t>25P13</t>
  </si>
  <si>
    <t>SALC - INV 1945 - 3 part staffing committee BH</t>
  </si>
  <si>
    <t>25P14</t>
  </si>
  <si>
    <t>Parsons Landscapes - Inv 17971</t>
  </si>
  <si>
    <t>25P15</t>
  </si>
  <si>
    <t>P Russell T/As Parish and Town Auditing Services</t>
  </si>
  <si>
    <t>25P16</t>
  </si>
  <si>
    <t>Clear Councils  - Inv LC-WEST/11825-MQCN</t>
  </si>
  <si>
    <t>25P17</t>
  </si>
  <si>
    <t>PWLB - Loan repayment</t>
  </si>
  <si>
    <t>25P19</t>
  </si>
  <si>
    <t>WCCH - Grant for carpark work</t>
  </si>
  <si>
    <t>25P18</t>
  </si>
  <si>
    <t>Transfer from deposit account</t>
  </si>
  <si>
    <t>25T1</t>
  </si>
  <si>
    <t>MS365 Email storage for clerk email (paid annually)</t>
  </si>
  <si>
    <t>Lloyds Account: 07326642</t>
  </si>
  <si>
    <t>UT Account: 20521255</t>
  </si>
  <si>
    <t>Environmental</t>
  </si>
  <si>
    <t xml:space="preserve">PWLB Loan interest </t>
  </si>
  <si>
    <t>Unity Trust 80184593</t>
  </si>
  <si>
    <t>Unity Trust 20521255</t>
  </si>
  <si>
    <t>VAT Refund due 2025/26</t>
  </si>
  <si>
    <t>2024 / 2025</t>
  </si>
  <si>
    <t>Bonsai Shredder for Clerk office</t>
  </si>
  <si>
    <t>Buy out BSPC 50% share of SID</t>
  </si>
  <si>
    <t>TOTAL EXPENDITURE SPENT AS BUDGETED FOR</t>
  </si>
  <si>
    <t>EARMARKED EXPENDITURE</t>
  </si>
  <si>
    <t>WC Recreation Grd &amp; Pavilion</t>
  </si>
  <si>
    <t>TOTAL ANNUAL EXPENDITURE (INCLUDING EARMARKED)</t>
  </si>
  <si>
    <t>80 WCPC day hours/365 hours a month (12hours x 365days / 12 months = 365 hours a month)</t>
  </si>
  <si>
    <t>WCPC hours 80/365 = 21.9178%</t>
  </si>
  <si>
    <t>Gigaclear</t>
  </si>
  <si>
    <t>HMRC - 2024/25 - RECLAIM 1</t>
  </si>
  <si>
    <t>Interest received</t>
  </si>
  <si>
    <t>25R1</t>
  </si>
  <si>
    <t>25R2</t>
  </si>
  <si>
    <t>SC Precept 2025/26</t>
  </si>
  <si>
    <t>25R3</t>
  </si>
  <si>
    <t>Transfer to current account</t>
  </si>
  <si>
    <t>25R4</t>
  </si>
  <si>
    <t>25R5</t>
  </si>
  <si>
    <t>BT Group - WIFI JP April</t>
  </si>
  <si>
    <t>25P20</t>
  </si>
  <si>
    <t>Bank charges</t>
  </si>
  <si>
    <t>25P21</t>
  </si>
  <si>
    <t>BT Group - WIFI JP May</t>
  </si>
  <si>
    <t>25P22</t>
  </si>
  <si>
    <t>25P23</t>
  </si>
  <si>
    <t>K Fullerton - Clerk salary June 25</t>
  </si>
  <si>
    <t>25P24</t>
  </si>
  <si>
    <t>MS365 &amp; WFH June 25</t>
  </si>
  <si>
    <t>Shield Batteries - SID Batteries reimbursement</t>
  </si>
  <si>
    <t>P Sandford - Caretaker salary June 25</t>
  </si>
  <si>
    <t>25P25</t>
  </si>
  <si>
    <t>HMRC - PAYE June 25</t>
  </si>
  <si>
    <t>25P26</t>
  </si>
  <si>
    <t>Premier Landscaping - Ranger April &amp; May</t>
  </si>
  <si>
    <t>25P27</t>
  </si>
  <si>
    <t>Parsons Landscapes - Inv 18039 &amp; 18094</t>
  </si>
  <si>
    <t>25P28</t>
  </si>
  <si>
    <t>SALC - Inv 2062 Income &amp; Exp accounts KF</t>
  </si>
  <si>
    <t>25P29</t>
  </si>
  <si>
    <t>Angus McPhee - Ashridge Nurseries - Inv</t>
  </si>
  <si>
    <t>25P30</t>
  </si>
  <si>
    <t>??</t>
  </si>
  <si>
    <t>B Hampshire - Booker Ltd - INV 04436479 &amp; 0451152 Cleaning JP</t>
  </si>
  <si>
    <t>25P31</t>
  </si>
  <si>
    <t>Somerset Council Pension Fund June 25</t>
  </si>
  <si>
    <t>25P32</t>
  </si>
  <si>
    <t>Clear Councils  - Inv LC-WEST/11825-MQCN - refund</t>
  </si>
  <si>
    <t>UT Instant Access Account 20521255</t>
  </si>
  <si>
    <t>debit</t>
  </si>
  <si>
    <t>UT Fixed Term Account 80184593</t>
  </si>
  <si>
    <t>Unity Trust account 80184593</t>
  </si>
  <si>
    <t>Unity Trust account 20521255</t>
  </si>
  <si>
    <t>Somerset Council - FWAG funding for Sleight's Lane</t>
  </si>
  <si>
    <t>Old School Rooms - Od Arts Festival 2025 Grant</t>
  </si>
  <si>
    <t>25P33</t>
  </si>
  <si>
    <t>25P34</t>
  </si>
  <si>
    <t>JP Maintenance</t>
  </si>
  <si>
    <t>A Perry - Toolstation - reimburse drain rods JP</t>
  </si>
  <si>
    <t>BT Group - WIFI JP June</t>
  </si>
  <si>
    <t>25P35</t>
  </si>
  <si>
    <t>25P36</t>
  </si>
  <si>
    <t>Bank Service Charges</t>
  </si>
  <si>
    <t>25P37</t>
  </si>
  <si>
    <t>25R6</t>
  </si>
  <si>
    <t>25R7</t>
  </si>
  <si>
    <t>Total-Play Ltd - compensation to repair broken pipe</t>
  </si>
  <si>
    <t>No1 PHD  Ltd - Inv 18/6/25</t>
  </si>
  <si>
    <t>EARMARKEDNew Pavilion Build</t>
  </si>
  <si>
    <t>EARMARKED New Pavilion Maintenance</t>
  </si>
  <si>
    <t>K Fullerton - Clerk salary July 25</t>
  </si>
  <si>
    <t>25P38</t>
  </si>
  <si>
    <t>K Fullerton reimburse Argos McAffee 1 yr</t>
  </si>
  <si>
    <t>WFH &amp; MS365 July</t>
  </si>
  <si>
    <t>P Sandford caretaker salary July</t>
  </si>
  <si>
    <t>25P39</t>
  </si>
  <si>
    <t>25P40</t>
  </si>
  <si>
    <t>HMRC - PAYE July 25</t>
  </si>
  <si>
    <t>Somerset Council Pension Fund July 25</t>
  </si>
  <si>
    <t>25P41</t>
  </si>
  <si>
    <t>K Fullerton - Clerk salary August 25</t>
  </si>
  <si>
    <t>25P42</t>
  </si>
  <si>
    <t>WFH &amp; MS365 August 25</t>
  </si>
  <si>
    <t>P Sandford - Caretaker salary August 2025</t>
  </si>
  <si>
    <t>25P43</t>
  </si>
  <si>
    <t>HMRC - PAYE August 2025</t>
  </si>
  <si>
    <t>25P44</t>
  </si>
  <si>
    <t>Somerset Council Pension Fund August 2025</t>
  </si>
  <si>
    <t>25P45</t>
  </si>
  <si>
    <t>SES Fire and Security - Inv 153836 Fire alarm call-out</t>
  </si>
  <si>
    <t>25P46</t>
  </si>
  <si>
    <t>25P47</t>
  </si>
  <si>
    <t>Hardwill Ltd - Invoices 52550 Repair damage pipe JP - cost covered by comp from Total Play ltd</t>
  </si>
  <si>
    <t>Hardwill Ltd - Invoices 52558 Overflow pipe by tennis courts</t>
  </si>
  <si>
    <t>Hardwill Ltd - Invoices 52561 Aco drains carpark JP</t>
  </si>
  <si>
    <t>CPRE The Countryside Charity - Annual subscription DD</t>
  </si>
  <si>
    <t>25P48</t>
  </si>
  <si>
    <t>25T2</t>
  </si>
  <si>
    <t>Opening Balance 01.04.25</t>
  </si>
  <si>
    <t>B Hampshire - Booker Ltd - Inv 0317047 JP Cleaning</t>
  </si>
  <si>
    <t>25P49</t>
  </si>
  <si>
    <t>B Hampshire - Morrisons - JP cleaning</t>
  </si>
  <si>
    <t>25P50</t>
  </si>
  <si>
    <t>Parsons Landscapes Ltd - Inv 18167</t>
  </si>
  <si>
    <t>SALC - Inv 2156 Training Finance for Cllrs AP</t>
  </si>
  <si>
    <t>25P51</t>
  </si>
  <si>
    <t>Jeremy Mees Pulmbing &amp; Heating - Inv 154 JP outside tap</t>
  </si>
  <si>
    <t>25P52</t>
  </si>
  <si>
    <t>Premier Landscaping - Ranger June</t>
  </si>
  <si>
    <t>25P53</t>
  </si>
  <si>
    <t>25P54</t>
  </si>
  <si>
    <t>BT Group - WIFI JP August</t>
  </si>
  <si>
    <t>25P56</t>
  </si>
  <si>
    <t>Information Commissioners Office - Data Protection annual fee</t>
  </si>
  <si>
    <t xml:space="preserve">Lloyds Bank - Bank charges </t>
  </si>
  <si>
    <t>25P55</t>
  </si>
  <si>
    <t>BT Group - WIFI JP July</t>
  </si>
  <si>
    <t>25P57</t>
  </si>
  <si>
    <t>25P58</t>
  </si>
  <si>
    <t>25P59</t>
  </si>
  <si>
    <t>25P60</t>
  </si>
  <si>
    <t>25P61</t>
  </si>
  <si>
    <t>25R8</t>
  </si>
  <si>
    <t>25R9</t>
  </si>
  <si>
    <t>Parsons Landscapes Ltd - Inv 18246</t>
  </si>
  <si>
    <t>Jeremy Mees - Inv 157  Remove door seal JP</t>
  </si>
  <si>
    <t>Earth Anchors Ltd - InvEA41980  Picnic bench JP grant</t>
  </si>
  <si>
    <t>Transfer</t>
  </si>
  <si>
    <t>Income interest</t>
  </si>
  <si>
    <t>K Fullerton - Clerk salary September (with pay increase and backpay)</t>
  </si>
  <si>
    <t>25P62</t>
  </si>
  <si>
    <t>K Fullerton - Clerk expenses wfh Sept and MS365</t>
  </si>
  <si>
    <t>P Sandford - Caretaker salary Sept with pay increase/holiday pay 24/25/backpay</t>
  </si>
  <si>
    <t>25P63</t>
  </si>
  <si>
    <t>HMRC - PAYE September 2025</t>
  </si>
  <si>
    <t>25P64</t>
  </si>
  <si>
    <t>PKF Littlejohn LLP - InvSB20250728</t>
  </si>
  <si>
    <t>25P65</t>
  </si>
  <si>
    <t>Premier Landscaping - July Ranger</t>
  </si>
  <si>
    <t>25P66</t>
  </si>
  <si>
    <t>Premier Landscaping - August Ranger</t>
  </si>
  <si>
    <t>The Play Inspection Company Ltd - Inv80095 - Grant playground inspection</t>
  </si>
  <si>
    <t>25P67</t>
  </si>
  <si>
    <t>CIA Fire and Security Ltd - Inv 291003 Tennis court gate maint Plan</t>
  </si>
  <si>
    <t>25P68</t>
  </si>
  <si>
    <t>Somerset Council Pension Fund - Clerk pension Sept 2025</t>
  </si>
  <si>
    <t>25P69</t>
  </si>
  <si>
    <t>25T3</t>
  </si>
  <si>
    <t>K Fullerton - Clerk salary October 25</t>
  </si>
  <si>
    <t>25P70</t>
  </si>
  <si>
    <t>P Sandford - Caretaker salary October 25</t>
  </si>
  <si>
    <t>25P71</t>
  </si>
  <si>
    <t>HMRC - PAYE October 25</t>
  </si>
  <si>
    <t>25P72</t>
  </si>
  <si>
    <t>K Fullerton - Clerk expenses wfh Oct and MS365</t>
  </si>
  <si>
    <t>Somerset Council Pension Fund - clerk pension Oct 256</t>
  </si>
  <si>
    <t>25P73</t>
  </si>
  <si>
    <t>25P74</t>
  </si>
  <si>
    <t xml:space="preserve">B Hampshire - reimburse Findaspare Inv GB50488XDCIT71 JP cleaning </t>
  </si>
  <si>
    <t>B Hampshire - reimburse Booker Ltd Inv 0460401 JP cleaning</t>
  </si>
  <si>
    <t>BT Group - WIFI JP Sept</t>
  </si>
  <si>
    <t>25P69a</t>
  </si>
  <si>
    <t>25P69b</t>
  </si>
  <si>
    <t>25R10</t>
  </si>
  <si>
    <t>Account closed 30/07/2025</t>
  </si>
  <si>
    <t>Mr A Goddard - DAG Design - inv 1770 includes westcoker.net domain</t>
  </si>
  <si>
    <t>25P75</t>
  </si>
  <si>
    <t>Hallmaster - Invoice HM9344 - split 50% with WCCH</t>
  </si>
  <si>
    <t>25P76</t>
  </si>
  <si>
    <t>P Sandford - Timpson Ltd - spare key JP</t>
  </si>
  <si>
    <t>Premier Landscaping - Ranger September 2025</t>
  </si>
  <si>
    <t>25P77</t>
  </si>
  <si>
    <t>Parsons Landscapes Ltd - Inv 18378</t>
  </si>
  <si>
    <t>25P78</t>
  </si>
  <si>
    <t>K Fullerton - Clerk salary Nov 2025</t>
  </si>
  <si>
    <t>25P79</t>
  </si>
  <si>
    <t>K Fullerton wfh Nov &amp; MS365</t>
  </si>
  <si>
    <t>K Fullerton - Cartridge People reimbursemetn Maint box and ink</t>
  </si>
  <si>
    <t>P Sandford - Caretaker salary Nov 25</t>
  </si>
  <si>
    <t>25P80</t>
  </si>
  <si>
    <t>HMRC - PAYE November 25</t>
  </si>
  <si>
    <t>25P81</t>
  </si>
  <si>
    <t>Somerset Council Pension  - clerk pension</t>
  </si>
  <si>
    <t>25P82</t>
  </si>
  <si>
    <t>SALC - Inv 2328 AP,2383 KF, 2299 AP</t>
  </si>
  <si>
    <t>25P83</t>
  </si>
  <si>
    <t>CIA Fire and Security Ltd - Inv 293191 Battery replace</t>
  </si>
  <si>
    <t>25P84</t>
  </si>
  <si>
    <t>AJM Electrical Services - Inv 8787 Call out no power cricket</t>
  </si>
  <si>
    <t>25P85</t>
  </si>
  <si>
    <t>SES Fire and Security - Inv 155735 Fire alarm call-out</t>
  </si>
  <si>
    <t>25P86</t>
  </si>
  <si>
    <t>SES Fire and Security - Inv 156021 Call out JP (fog machine)</t>
  </si>
  <si>
    <t>25P87</t>
  </si>
  <si>
    <t>Parsons Landscapes - Inv 18437</t>
  </si>
  <si>
    <t>25P88</t>
  </si>
  <si>
    <t>SALC - Equality Act KF Inv 2471</t>
  </si>
  <si>
    <t>25P89</t>
  </si>
  <si>
    <t>PWLB - Loan repayment DD 10/11/2025</t>
  </si>
  <si>
    <t>25P90</t>
  </si>
  <si>
    <t>BT - WIFI JP October 25</t>
  </si>
  <si>
    <t>Bank transfer</t>
  </si>
  <si>
    <t>25T4</t>
  </si>
  <si>
    <t>YTD Auto update</t>
  </si>
  <si>
    <t>Budget for SID 26/27</t>
  </si>
  <si>
    <t>Move to Sampsons wood</t>
  </si>
  <si>
    <t>Estimated YTD 1st Dec - 31st March 2026</t>
  </si>
  <si>
    <t>Total Estimated expenditure to 31st March 2026</t>
  </si>
  <si>
    <t>2026/27</t>
  </si>
  <si>
    <t>WCCH - Contribution towards Hallmaster Booking system</t>
  </si>
  <si>
    <t>25P91</t>
  </si>
  <si>
    <t>RBL Poppy Appeal TDC11</t>
  </si>
  <si>
    <t>25P92</t>
  </si>
  <si>
    <t>25R11</t>
  </si>
  <si>
    <t>25R12</t>
  </si>
  <si>
    <t>22.3% of gross salary</t>
  </si>
  <si>
    <t>Spent Grant 2025/26</t>
  </si>
  <si>
    <t>Spent Earmarked 2025/26</t>
  </si>
  <si>
    <t>Yeovil Town Council Octagon</t>
  </si>
  <si>
    <t>Grant Provision 2026/27</t>
  </si>
  <si>
    <t>Earmarked Provision 2026/27</t>
  </si>
  <si>
    <t>£22.90x70x12mths = 19236.00 Rec Grd salary = 10*22.90*12 = 2748.00 total clerk salary = £21984.00</t>
  </si>
  <si>
    <t>30280 Rec Grd Improvements</t>
  </si>
  <si>
    <t xml:space="preserve">3000 WCCH 25/26       5000 Octagon26/27        </t>
  </si>
  <si>
    <t>Grant figure includes clerk salary @ 10hrs x £22.90 x 12 £2748)</t>
  </si>
  <si>
    <t>solar panels x 2</t>
  </si>
  <si>
    <t>Estimated 3.45% on £100k+ 0.6% 71000</t>
  </si>
  <si>
    <t>Ranger £30/hour + drain clearing (2 x £500/day)</t>
  </si>
  <si>
    <t>Balance 25/26</t>
  </si>
  <si>
    <t>Spent 25/26</t>
  </si>
  <si>
    <t>Estimated spend to 31/3/26</t>
  </si>
  <si>
    <t>Jubilee Pavilion Sinking Fund S106 monies</t>
  </si>
  <si>
    <t>Bus shelter (Bunford Heights) S106 Maint fund</t>
  </si>
  <si>
    <t>S106 commuted sums bus shelter (bunford)</t>
  </si>
  <si>
    <t>VAT refund due for 2026/27</t>
  </si>
  <si>
    <t>Total funds in bank Apr 1st 2026 (estimated)</t>
  </si>
  <si>
    <t>Precept 26/27</t>
  </si>
  <si>
    <t>24/25</t>
  </si>
  <si>
    <t>25/26 + Estimated</t>
  </si>
  <si>
    <r>
      <t xml:space="preserve">Total clerk salary = 80*£22*12 includes potential pay increment (63p) &amp; cost of living rise (£1) + o/t allowance (30 hrs per yr) = </t>
    </r>
    <r>
      <rPr>
        <b/>
        <i/>
        <u/>
        <sz val="14"/>
        <color theme="1"/>
        <rFont val="Calibri"/>
        <family val="2"/>
        <scheme val="minor"/>
      </rPr>
      <t>21780.00</t>
    </r>
    <r>
      <rPr>
        <i/>
        <sz val="14"/>
        <color theme="1"/>
        <rFont val="Calibri"/>
        <family val="2"/>
        <scheme val="minor"/>
      </rPr>
      <t>.  Rec Grd = 10 hours &amp; £22 x 12 mths.  PC = 70 x £22 x 12 + o/t 30 x £22</t>
    </r>
  </si>
  <si>
    <t>Ringfenced S106 funds for cricket practice net maintenance. Can be used for safety netting?</t>
  </si>
  <si>
    <t>YTD Actual Expenditure 1/4/25 - 31/11/25 2025/26</t>
  </si>
  <si>
    <t>50% Election costs 2027</t>
  </si>
  <si>
    <t>Half earmarked this year, half next year</t>
  </si>
  <si>
    <t>BT - WIFI JP November 2025</t>
  </si>
  <si>
    <t>25P93</t>
  </si>
  <si>
    <t>25P94</t>
  </si>
  <si>
    <t>UT Fixed Term Account 80191078 - opened 24/11/25</t>
  </si>
  <si>
    <t>Unity Trust Fixed Term Account 80184594</t>
  </si>
  <si>
    <t>Unity Trust Fixed Term Account 80191078</t>
  </si>
  <si>
    <t>K Fullerton - Clerk salary Dec 25</t>
  </si>
  <si>
    <t>25P95</t>
  </si>
  <si>
    <t>K Fullerton - MS365 &amp; WFH Dec 25</t>
  </si>
  <si>
    <t>25P96</t>
  </si>
  <si>
    <t>K Fullerton - Tesco - paper/stationery</t>
  </si>
  <si>
    <t>P Sandford - caretaker salary Dec 25</t>
  </si>
  <si>
    <t>HMRC - PAYE Dec 25</t>
  </si>
  <si>
    <t>25P97</t>
  </si>
  <si>
    <t>Somerset Council Pension Fund - Clerk pension Dec 25</t>
  </si>
  <si>
    <t>25P98</t>
  </si>
  <si>
    <t>Total Aluminium Systems Ltd - Inv SI-4810 Repair JP doors</t>
  </si>
  <si>
    <t>25P99</t>
  </si>
  <si>
    <t>Premier Landscaping - Ranger Oct / Nov 2025</t>
  </si>
  <si>
    <t>25P100</t>
  </si>
  <si>
    <t>SALC - Inv 2484 KF Equality Training</t>
  </si>
  <si>
    <t>25P101</t>
  </si>
  <si>
    <t xml:space="preserve">Parsons Landscapes Ltd - Inv 18511 </t>
  </si>
  <si>
    <t>25P102</t>
  </si>
  <si>
    <t>West Coker Commemoration Hall - Grant for patio - matchfunding</t>
  </si>
  <si>
    <t>25P103</t>
  </si>
  <si>
    <t>25/26</t>
  </si>
  <si>
    <t>plus 14.79%</t>
  </si>
  <si>
    <t>Defib Warehouse - Reimburse JF Inv DW-176323</t>
  </si>
  <si>
    <t>25P104</t>
  </si>
  <si>
    <t>Defibs</t>
  </si>
  <si>
    <t>BT - WIFI JP December 2025</t>
  </si>
  <si>
    <t>25P105</t>
  </si>
  <si>
    <t>25P106</t>
  </si>
  <si>
    <t>25P107</t>
  </si>
  <si>
    <t>25R13</t>
  </si>
  <si>
    <t>K Fullerton - Clerk salary Jan 2026</t>
  </si>
  <si>
    <t>25P108</t>
  </si>
  <si>
    <t>WFH Jan 2026 &amp; MS365</t>
  </si>
  <si>
    <t>P Sandford - caretaker salary Jan 2026</t>
  </si>
  <si>
    <t>25P109</t>
  </si>
  <si>
    <t>HMRC - PAYE Jan 2026</t>
  </si>
  <si>
    <t>25P110</t>
  </si>
  <si>
    <t>Somerset Council Pension Fund - Clerk pension Jan26</t>
  </si>
  <si>
    <t>25P111</t>
  </si>
  <si>
    <t>B Hampshire - reimburse Booker Ltd Inv 0595474 JP cleaning</t>
  </si>
  <si>
    <t>25P112</t>
  </si>
  <si>
    <t>Fern Garden and Tree Services - Inv 386 Rec Grd Maint</t>
  </si>
  <si>
    <t>25P113</t>
  </si>
  <si>
    <t>25P114</t>
  </si>
  <si>
    <t>BT - WIFI JP January 2026</t>
  </si>
  <si>
    <t>25P115</t>
  </si>
  <si>
    <t xml:space="preserve">                                                                                                                                 </t>
  </si>
  <si>
    <t>25T5</t>
  </si>
  <si>
    <t>25R14</t>
  </si>
  <si>
    <t>Fern</t>
  </si>
  <si>
    <t>P113</t>
  </si>
  <si>
    <t>Somerset Council - Inv 32011775 Playground insp</t>
  </si>
  <si>
    <t>25P116</t>
  </si>
  <si>
    <t>25T6</t>
  </si>
  <si>
    <t>National Grid - wayleave receipt CONTRA to Deposit account</t>
  </si>
  <si>
    <t>Contra from current account wayleave Nat. Grid</t>
  </si>
  <si>
    <t>K Fullerton - Clerk salary Feb 2026</t>
  </si>
  <si>
    <t>25P117</t>
  </si>
  <si>
    <t>P Sandford - caretaker salary Feb 2026</t>
  </si>
  <si>
    <t>25P118</t>
  </si>
  <si>
    <t>HMRC - PAYE Feb 2026</t>
  </si>
  <si>
    <t>25P119</t>
  </si>
  <si>
    <t>Somerset Council Pension Fund - Clerk pension Feb</t>
  </si>
  <si>
    <t>25P120</t>
  </si>
  <si>
    <t>West Coker Social Committee - Carols in the Square grant</t>
  </si>
  <si>
    <t>25P121</t>
  </si>
  <si>
    <t>West Coker Commemoration Hall - Grant for Ropewalker costs</t>
  </si>
  <si>
    <t>25P122</t>
  </si>
  <si>
    <t>Premier Landscaping - Ranger January 2026</t>
  </si>
  <si>
    <t>25P123</t>
  </si>
  <si>
    <t>Coker Rope and Sail CIO - Grant for mtg venue</t>
  </si>
  <si>
    <t>25P124</t>
  </si>
  <si>
    <t>25T7</t>
  </si>
  <si>
    <t>25R15</t>
  </si>
  <si>
    <t>BT - WIFI JP February 2026</t>
  </si>
  <si>
    <t>25P125</t>
  </si>
  <si>
    <t>25P126</t>
  </si>
  <si>
    <t>B Andrews - Reimburse tree purchase</t>
  </si>
  <si>
    <t>K Fullerton - clerk salary March 2026</t>
  </si>
  <si>
    <t>25P127</t>
  </si>
  <si>
    <t>P Sandford - caretaker salary March 2026</t>
  </si>
  <si>
    <t>25P128</t>
  </si>
  <si>
    <t>25P129</t>
  </si>
  <si>
    <t>HRMC - PAYE March 2026</t>
  </si>
  <si>
    <t>Somerset Council Pension Fund - Clerk pension March26</t>
  </si>
  <si>
    <t>25P130</t>
  </si>
  <si>
    <t>25P131</t>
  </si>
  <si>
    <t>ElanCity - Inv SAJ/UK/2026/03280 New solar SID Halves Lane</t>
  </si>
  <si>
    <t>25P132</t>
  </si>
  <si>
    <t>Somerset Landscapes Ltd - Inv SLL36539</t>
  </si>
  <si>
    <t>25P133</t>
  </si>
  <si>
    <t>New storage container and move containers</t>
  </si>
  <si>
    <t>Ringfenced S106 funds OF £14768.20 for maintenance and improvements. Spent 705 25/26</t>
  </si>
  <si>
    <t>Asset List</t>
  </si>
  <si>
    <t>WCPC Payments List for 5th March 2026</t>
  </si>
  <si>
    <t>TOTAL</t>
  </si>
  <si>
    <t>New Assets</t>
  </si>
  <si>
    <t>YTD Actual Expenditure 1/4/25 - 31/03/2026</t>
  </si>
  <si>
    <t xml:space="preserve"> BUDGET 2026/27</t>
  </si>
  <si>
    <t>25/26 more than a year</t>
  </si>
  <si>
    <t>25T8</t>
  </si>
  <si>
    <t>BT - WIFI JP March 2026</t>
  </si>
  <si>
    <t>25P134</t>
  </si>
  <si>
    <t>Premier Landscaping - Ranger February - extra day tennis courts</t>
  </si>
  <si>
    <t>25P135</t>
  </si>
  <si>
    <t>25R16</t>
  </si>
  <si>
    <t>LESS BOX  4  SALARY COLUMNS P-R</t>
  </si>
  <si>
    <t>LESS BOX 5 LOAN COLUMNS V-W</t>
  </si>
  <si>
    <r>
      <t>Year to 31</t>
    </r>
    <r>
      <rPr>
        <vertAlign val="superscript"/>
        <sz val="14"/>
        <rFont val="Arial"/>
        <family val="2"/>
      </rPr>
      <t>st</t>
    </r>
    <r>
      <rPr>
        <sz val="14"/>
        <rFont val="Arial"/>
        <family val="2"/>
      </rPr>
      <t xml:space="preserve"> March 2026</t>
    </r>
  </si>
  <si>
    <t>BALANCE SHEET - 31 MARCH 2026</t>
  </si>
  <si>
    <t>Compensation</t>
  </si>
  <si>
    <t>FWAG Funding</t>
  </si>
  <si>
    <t>25P136</t>
  </si>
  <si>
    <t>Bank Reconciliation as of the 31st of March 2026</t>
  </si>
  <si>
    <t>Cashbook balance as of the 31st of March 2026</t>
  </si>
  <si>
    <t>31.03.2026</t>
  </si>
  <si>
    <t>Accrue 2025/26</t>
  </si>
  <si>
    <t>J1</t>
  </si>
  <si>
    <t>Journal 1/25 Reverse accrual for audit costs</t>
  </si>
  <si>
    <t>Journal 2/25 Reverse accrual for PWLB (4 months)</t>
  </si>
  <si>
    <t>J2</t>
  </si>
  <si>
    <t>31st March</t>
  </si>
  <si>
    <t>Journal 3/25 Accrue for audit costs 25/26</t>
  </si>
  <si>
    <t>Journal 4/25 Accrua for PWLB costs 25/26</t>
  </si>
  <si>
    <t>J3</t>
  </si>
  <si>
    <t>J4</t>
  </si>
  <si>
    <t>2025/2026</t>
  </si>
  <si>
    <t>SID with solar</t>
  </si>
  <si>
    <t>Toolstation - reimburse drain rods JP</t>
  </si>
  <si>
    <t>Ashridge Nurseries - Inv</t>
  </si>
  <si>
    <t>Ashridge Nurseries tree purchase</t>
  </si>
  <si>
    <t>Booker Ltd - Inv 0317047 JP Cleaning</t>
  </si>
  <si>
    <t>Booker Ltd - INV 04436479 &amp; 0451152 Cleaning JP</t>
  </si>
  <si>
    <t>Morrisons - JP cleaning</t>
  </si>
  <si>
    <t>Booker Ltd Inv 0460401 JP cleaning</t>
  </si>
  <si>
    <t>Booker Ltd Inv 0595474 JP cleaning</t>
  </si>
  <si>
    <t xml:space="preserve">Findaspare Inv GB50488XDCIT71 JP cleaning </t>
  </si>
  <si>
    <t>Cartridge People reimbursemetn Maint box and ink</t>
  </si>
  <si>
    <t>MS365</t>
  </si>
  <si>
    <t>Tesco - paper/stationery</t>
  </si>
  <si>
    <t>Argos McAffee 1 yr</t>
  </si>
  <si>
    <t>Timpson Ltd - spare key JP</t>
  </si>
  <si>
    <t>MS365 August 25</t>
  </si>
  <si>
    <t>MS365 July</t>
  </si>
  <si>
    <t>Pavilion Maintenance</t>
  </si>
  <si>
    <t>Ropewalker Publication &amp; WCCH</t>
  </si>
  <si>
    <t>(wages + hmrc+pension)</t>
  </si>
  <si>
    <t>Trees+sampson's wood</t>
  </si>
  <si>
    <t>Unity Trust 80191078</t>
  </si>
  <si>
    <t>RG Grant + JP earmarked exp</t>
  </si>
  <si>
    <t>1`</t>
  </si>
  <si>
    <t>EARMARKED GRANT New Pavilion Maintenance</t>
  </si>
  <si>
    <t>Earmarked funds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</si>
</sst>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_(&quot;$&quot;* #,##0.00_);_(&quot;$&quot;* \(#,##0.00\);_(&quot;$&quot;* &quot;-&quot;??_);_(@_)"/>
    <numFmt numFmtId="165" formatCode="_(* #,##0.00_);_(* \(#,##0.00\);_(* &quot;-&quot;??_);_(@_)"/>
    <numFmt numFmtId="166" formatCode="[$£-809]#,##0.00"/>
    <numFmt numFmtId="167" formatCode="_-[$£-809]* #,##0.00_-;\-[$£-809]* #,##0.00_-;_-[$£-809]* &quot;-&quot;??_-;_-@_-"/>
    <numFmt numFmtId="168" formatCode="&quot;£&quot;#,##0.00"/>
    <numFmt numFmtId="169" formatCode="&quot; &quot;[$£-809]#,##0.00&quot; &quot;;&quot;-&quot;[$£-809]#,##0.00&quot; &quot;;&quot; &quot;[$£-809]&quot;-&quot;00&quot; &quot;;&quot; &quot;@&quot; &quot;"/>
    <numFmt numFmtId="170" formatCode="#,##0.00;\(#,##0.00\)"/>
  </numFmts>
  <fonts count="16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Arial"/>
      <family val="2"/>
    </font>
    <font>
      <sz val="8"/>
      <color rgb="FF000000"/>
      <name val="Arial"/>
      <family val="2"/>
    </font>
    <font>
      <b/>
      <sz val="8"/>
      <color theme="1"/>
      <name val="Arial"/>
      <family val="2"/>
    </font>
    <font>
      <b/>
      <sz val="8"/>
      <color rgb="FF000000"/>
      <name val="Arial"/>
      <family val="2"/>
    </font>
    <font>
      <b/>
      <i/>
      <sz val="8"/>
      <color rgb="FF000000"/>
      <name val="Arial"/>
      <family val="2"/>
    </font>
    <font>
      <i/>
      <sz val="8"/>
      <color rgb="FF000000"/>
      <name val="Arial"/>
      <family val="2"/>
    </font>
    <font>
      <sz val="8"/>
      <color theme="1"/>
      <name val="Arial"/>
      <family val="2"/>
    </font>
    <font>
      <b/>
      <sz val="8"/>
      <color rgb="FFFF0000"/>
      <name val="Arial"/>
      <family val="2"/>
    </font>
    <font>
      <b/>
      <i/>
      <sz val="8"/>
      <color rgb="FFFF0000"/>
      <name val="Arial"/>
      <family val="2"/>
    </font>
    <font>
      <b/>
      <sz val="11"/>
      <color rgb="FFFF0000"/>
      <name val="Calibri"/>
      <family val="2"/>
      <scheme val="minor"/>
    </font>
    <font>
      <i/>
      <sz val="8"/>
      <color theme="1"/>
      <name val="Arial"/>
      <family val="2"/>
    </font>
    <font>
      <b/>
      <sz val="8"/>
      <name val="Arial"/>
      <family val="2"/>
    </font>
    <font>
      <b/>
      <sz val="8"/>
      <color theme="3"/>
      <name val="Arial"/>
      <family val="2"/>
    </font>
    <font>
      <sz val="8"/>
      <color rgb="FFFF0000"/>
      <name val="Arial"/>
      <family val="2"/>
    </font>
    <font>
      <sz val="8"/>
      <name val="Arial"/>
      <family val="2"/>
    </font>
    <font>
      <b/>
      <i/>
      <sz val="8"/>
      <color theme="3"/>
      <name val="Arial"/>
      <family val="2"/>
    </font>
    <font>
      <b/>
      <u/>
      <sz val="8"/>
      <name val="Arial"/>
      <family val="2"/>
    </font>
    <font>
      <sz val="8"/>
      <color theme="3"/>
      <name val="Arial"/>
      <family val="2"/>
    </font>
    <font>
      <u/>
      <sz val="8"/>
      <name val="Arial"/>
      <family val="2"/>
    </font>
    <font>
      <b/>
      <sz val="10"/>
      <color theme="3"/>
      <name val="Arial"/>
      <family val="2"/>
    </font>
    <font>
      <sz val="10"/>
      <color theme="3"/>
      <name val="Arial"/>
      <family val="2"/>
    </font>
    <font>
      <b/>
      <i/>
      <sz val="8"/>
      <name val="Arial"/>
      <family val="2"/>
    </font>
    <font>
      <b/>
      <i/>
      <sz val="10"/>
      <color theme="3"/>
      <name val="Arial"/>
      <family val="2"/>
    </font>
    <font>
      <b/>
      <i/>
      <sz val="11"/>
      <color theme="1"/>
      <name val="Calibri"/>
      <family val="2"/>
      <scheme val="minor"/>
    </font>
    <font>
      <sz val="11"/>
      <color rgb="FF000000"/>
      <name val="Calibri"/>
      <family val="2"/>
    </font>
    <font>
      <b/>
      <sz val="11"/>
      <color rgb="FF000000"/>
      <name val="Calibri"/>
      <family val="2"/>
    </font>
    <font>
      <b/>
      <sz val="10"/>
      <color rgb="FF000000"/>
      <name val="Arial"/>
      <family val="2"/>
    </font>
    <font>
      <sz val="8"/>
      <color indexed="62"/>
      <name val="Arial"/>
      <family val="2"/>
    </font>
    <font>
      <b/>
      <sz val="12"/>
      <name val="Arial"/>
      <family val="2"/>
    </font>
    <font>
      <b/>
      <sz val="8"/>
      <color indexed="62"/>
      <name val="Arial"/>
      <family val="2"/>
    </font>
    <font>
      <u/>
      <sz val="11"/>
      <color rgb="FFFF0000"/>
      <name val="Calibri"/>
      <family val="2"/>
      <scheme val="minor"/>
    </font>
    <font>
      <b/>
      <u/>
      <sz val="11"/>
      <color theme="1"/>
      <name val="Calibri"/>
      <family val="2"/>
      <scheme val="minor"/>
    </font>
    <font>
      <u val="singleAccounting"/>
      <sz val="11"/>
      <color theme="1"/>
      <name val="Calibri"/>
      <family val="2"/>
      <scheme val="minor"/>
    </font>
    <font>
      <b/>
      <u/>
      <sz val="11"/>
      <color rgb="FF000000"/>
      <name val="Calibri"/>
      <family val="2"/>
    </font>
    <font>
      <sz val="10"/>
      <name val="Arial"/>
      <family val="2"/>
    </font>
    <font>
      <sz val="14"/>
      <name val="Arial"/>
      <family val="2"/>
    </font>
    <font>
      <b/>
      <sz val="10"/>
      <name val="Arial"/>
      <family val="2"/>
    </font>
    <font>
      <i/>
      <sz val="10"/>
      <name val="Arial"/>
      <family val="2"/>
    </font>
    <font>
      <i/>
      <sz val="11"/>
      <color theme="1"/>
      <name val="Calibri"/>
      <family val="2"/>
      <scheme val="minor"/>
    </font>
    <font>
      <b/>
      <u/>
      <sz val="14"/>
      <color theme="1"/>
      <name val="Calibri"/>
      <family val="2"/>
      <scheme val="minor"/>
    </font>
    <font>
      <b/>
      <sz val="8"/>
      <color rgb="FF0070C0"/>
      <name val="Arial"/>
      <family val="2"/>
    </font>
    <font>
      <b/>
      <sz val="11"/>
      <color rgb="FF0070C0"/>
      <name val="Calibri"/>
      <family val="2"/>
      <scheme val="minor"/>
    </font>
    <font>
      <b/>
      <sz val="11"/>
      <color theme="3"/>
      <name val="Calibri"/>
      <family val="2"/>
      <scheme val="minor"/>
    </font>
    <font>
      <sz val="8"/>
      <name val="Calibri"/>
      <family val="2"/>
      <scheme val="minor"/>
    </font>
    <font>
      <u/>
      <sz val="11"/>
      <name val="Calibri"/>
      <family val="2"/>
      <scheme val="minor"/>
    </font>
    <font>
      <sz val="11"/>
      <name val="Calibri"/>
      <family val="2"/>
      <scheme val="minor"/>
    </font>
    <font>
      <b/>
      <sz val="8"/>
      <color rgb="FF002060"/>
      <name val="Arial"/>
      <family val="2"/>
    </font>
    <font>
      <b/>
      <i/>
      <sz val="8"/>
      <color theme="0" tint="-0.499984740745262"/>
      <name val="Arial"/>
      <family val="2"/>
    </font>
    <font>
      <b/>
      <sz val="8"/>
      <color theme="0" tint="-0.499984740745262"/>
      <name val="Arial"/>
      <family val="2"/>
    </font>
    <font>
      <b/>
      <sz val="11"/>
      <color theme="0" tint="-0.499984740745262"/>
      <name val="Calibri"/>
      <family val="2"/>
      <scheme val="minor"/>
    </font>
    <font>
      <sz val="11"/>
      <color theme="0" tint="-0.499984740745262"/>
      <name val="Calibri"/>
      <family val="2"/>
      <scheme val="minor"/>
    </font>
    <font>
      <b/>
      <sz val="8"/>
      <color theme="4" tint="-0.249977111117893"/>
      <name val="Arial"/>
      <family val="2"/>
    </font>
    <font>
      <sz val="8"/>
      <color theme="1" tint="0.34998626667073579"/>
      <name val="Arial"/>
      <family val="2"/>
    </font>
    <font>
      <i/>
      <sz val="8"/>
      <color rgb="FFFF0000"/>
      <name val="Arial"/>
      <family val="2"/>
    </font>
    <font>
      <b/>
      <u/>
      <sz val="12"/>
      <name val="Arial"/>
      <family val="2"/>
    </font>
    <font>
      <sz val="11"/>
      <color theme="3" tint="0.39997558519241921"/>
      <name val="Calibri"/>
      <family val="2"/>
      <scheme val="minor"/>
    </font>
    <font>
      <i/>
      <sz val="8"/>
      <color theme="1"/>
      <name val="Calibri"/>
      <family val="2"/>
      <scheme val="minor"/>
    </font>
    <font>
      <b/>
      <u/>
      <sz val="12"/>
      <color rgb="FFFF0000"/>
      <name val="Arial"/>
      <family val="2"/>
    </font>
    <font>
      <sz val="12"/>
      <color theme="1"/>
      <name val="Arial"/>
      <family val="2"/>
    </font>
    <font>
      <sz val="12"/>
      <name val="Arial"/>
      <family val="2"/>
    </font>
    <font>
      <sz val="12"/>
      <color rgb="FFFF0000"/>
      <name val="Arial"/>
      <family val="2"/>
    </font>
    <font>
      <u/>
      <sz val="12"/>
      <name val="Arial"/>
      <family val="2"/>
    </font>
    <font>
      <b/>
      <sz val="12"/>
      <color theme="1"/>
      <name val="Arial"/>
      <family val="2"/>
    </font>
    <font>
      <b/>
      <sz val="12"/>
      <color rgb="FFFF0000"/>
      <name val="Arial"/>
      <family val="2"/>
    </font>
    <font>
      <b/>
      <sz val="12"/>
      <color theme="3"/>
      <name val="Arial"/>
      <family val="2"/>
    </font>
    <font>
      <sz val="12"/>
      <color theme="3"/>
      <name val="Arial"/>
      <family val="2"/>
    </font>
    <font>
      <b/>
      <sz val="12"/>
      <color theme="4" tint="-0.249977111117893"/>
      <name val="Arial"/>
      <family val="2"/>
    </font>
    <font>
      <sz val="12"/>
      <color theme="4" tint="-0.249977111117893"/>
      <name val="Arial"/>
      <family val="2"/>
    </font>
    <font>
      <i/>
      <sz val="12"/>
      <color theme="3"/>
      <name val="Arial"/>
      <family val="2"/>
    </font>
    <font>
      <i/>
      <sz val="12"/>
      <color rgb="FFFF0000"/>
      <name val="Arial"/>
      <family val="2"/>
    </font>
    <font>
      <b/>
      <i/>
      <sz val="12"/>
      <color rgb="FFFF0000"/>
      <name val="Arial"/>
      <family val="2"/>
    </font>
    <font>
      <b/>
      <i/>
      <sz val="12"/>
      <color theme="3"/>
      <name val="Arial"/>
      <family val="2"/>
    </font>
    <font>
      <sz val="12"/>
      <color rgb="FFFF0000"/>
      <name val="Calibri"/>
      <family val="2"/>
      <scheme val="minor"/>
    </font>
    <font>
      <sz val="12"/>
      <color theme="1"/>
      <name val="Calibri"/>
      <family val="2"/>
      <scheme val="minor"/>
    </font>
    <font>
      <sz val="12"/>
      <name val="Calibri"/>
      <family val="2"/>
      <scheme val="minor"/>
    </font>
    <font>
      <i/>
      <sz val="12"/>
      <color theme="1"/>
      <name val="Calibri"/>
      <family val="2"/>
      <scheme val="minor"/>
    </font>
    <font>
      <b/>
      <sz val="12"/>
      <color rgb="FFFF0000"/>
      <name val="Calibri"/>
      <family val="2"/>
      <scheme val="minor"/>
    </font>
    <font>
      <b/>
      <sz val="10"/>
      <color theme="1"/>
      <name val="Arial"/>
      <family val="2"/>
    </font>
    <font>
      <b/>
      <i/>
      <sz val="10"/>
      <color rgb="FF000000"/>
      <name val="Arial"/>
      <family val="2"/>
    </font>
    <font>
      <sz val="10"/>
      <color theme="1"/>
      <name val="Arial"/>
      <family val="2"/>
    </font>
    <font>
      <i/>
      <sz val="10"/>
      <color rgb="FF000000"/>
      <name val="Arial"/>
      <family val="2"/>
    </font>
    <font>
      <b/>
      <sz val="10"/>
      <color rgb="FFFF0000"/>
      <name val="Arial"/>
      <family val="2"/>
    </font>
    <font>
      <sz val="11"/>
      <color rgb="FF002060"/>
      <name val="Calibri"/>
      <family val="2"/>
    </font>
    <font>
      <sz val="8"/>
      <color rgb="FF002060"/>
      <name val="Arial"/>
      <family val="2"/>
    </font>
    <font>
      <b/>
      <sz val="11"/>
      <color rgb="FFFF0000"/>
      <name val="Calibri"/>
      <family val="2"/>
    </font>
    <font>
      <i/>
      <sz val="8"/>
      <name val="Arial"/>
      <family val="2"/>
    </font>
    <font>
      <sz val="11"/>
      <color theme="3"/>
      <name val="Calibri"/>
      <family val="2"/>
      <scheme val="minor"/>
    </font>
    <font>
      <b/>
      <sz val="11"/>
      <name val="Calibri"/>
      <family val="2"/>
      <scheme val="minor"/>
    </font>
    <font>
      <i/>
      <sz val="12"/>
      <name val="Arial"/>
      <family val="2"/>
    </font>
    <font>
      <i/>
      <sz val="12"/>
      <color theme="1"/>
      <name val="Arial"/>
      <family val="2"/>
    </font>
    <font>
      <b/>
      <i/>
      <u/>
      <sz val="11"/>
      <color theme="1"/>
      <name val="Calibri"/>
      <family val="2"/>
      <scheme val="minor"/>
    </font>
    <font>
      <u/>
      <sz val="11"/>
      <color theme="10"/>
      <name val="Calibri"/>
      <family val="2"/>
      <scheme val="minor"/>
    </font>
    <font>
      <b/>
      <sz val="16"/>
      <name val="Arial"/>
      <family val="2"/>
    </font>
    <font>
      <sz val="16"/>
      <color theme="1"/>
      <name val="Arial"/>
      <family val="2"/>
    </font>
    <font>
      <b/>
      <sz val="16"/>
      <color theme="1"/>
      <name val="Arial"/>
      <family val="2"/>
    </font>
    <font>
      <b/>
      <sz val="14"/>
      <color indexed="9"/>
      <name val="Arial"/>
      <family val="2"/>
    </font>
    <font>
      <sz val="12"/>
      <color indexed="41"/>
      <name val="Arial"/>
      <family val="2"/>
    </font>
    <font>
      <b/>
      <sz val="12"/>
      <color indexed="8"/>
      <name val="Arial"/>
      <family val="2"/>
    </font>
    <font>
      <b/>
      <sz val="12"/>
      <color indexed="9"/>
      <name val="Arial"/>
      <family val="2"/>
    </font>
    <font>
      <b/>
      <sz val="14"/>
      <color theme="0"/>
      <name val="Arial"/>
      <family val="2"/>
    </font>
    <font>
      <sz val="14"/>
      <color theme="1"/>
      <name val="Arial"/>
      <family val="2"/>
    </font>
    <font>
      <sz val="14"/>
      <color theme="0"/>
      <name val="Arial"/>
      <family val="2"/>
    </font>
    <font>
      <b/>
      <sz val="12"/>
      <color theme="0"/>
      <name val="Arial"/>
      <family val="2"/>
    </font>
    <font>
      <sz val="12"/>
      <color theme="0"/>
      <name val="Arial"/>
      <family val="2"/>
    </font>
    <font>
      <b/>
      <sz val="12"/>
      <color indexed="41"/>
      <name val="Arial"/>
      <family val="2"/>
    </font>
    <font>
      <b/>
      <i/>
      <sz val="12"/>
      <name val="Arial"/>
      <family val="2"/>
    </font>
    <font>
      <vertAlign val="superscript"/>
      <sz val="14"/>
      <name val="Arial"/>
      <family val="2"/>
    </font>
    <font>
      <i/>
      <sz val="10"/>
      <color rgb="FFFF0000"/>
      <name val="Calibri"/>
      <family val="2"/>
      <scheme val="minor"/>
    </font>
    <font>
      <b/>
      <u/>
      <sz val="16"/>
      <color theme="1"/>
      <name val="Calibri"/>
      <family val="2"/>
      <scheme val="minor"/>
    </font>
    <font>
      <sz val="12"/>
      <color rgb="FF000000"/>
      <name val="Arial"/>
      <family val="2"/>
    </font>
    <font>
      <b/>
      <sz val="12"/>
      <color theme="1"/>
      <name val="Calibri"/>
      <family val="2"/>
      <scheme val="minor"/>
    </font>
    <font>
      <i/>
      <sz val="10"/>
      <color theme="1"/>
      <name val="Arial"/>
      <family val="2"/>
    </font>
    <font>
      <i/>
      <sz val="10"/>
      <color theme="1"/>
      <name val="Calibri"/>
      <family val="2"/>
      <scheme val="minor"/>
    </font>
    <font>
      <i/>
      <sz val="10"/>
      <color rgb="FFED0000"/>
      <name val="Calibri"/>
      <family val="2"/>
      <scheme val="minor"/>
    </font>
    <font>
      <i/>
      <sz val="11"/>
      <color rgb="FF004E9A"/>
      <name val="Calibri"/>
      <family val="2"/>
      <scheme val="minor"/>
    </font>
    <font>
      <b/>
      <i/>
      <sz val="12"/>
      <color rgb="FF004E9A"/>
      <name val="Arial"/>
      <family val="2"/>
    </font>
    <font>
      <b/>
      <sz val="12"/>
      <name val="Calibri"/>
      <family val="2"/>
      <scheme val="minor"/>
    </font>
    <font>
      <i/>
      <sz val="10"/>
      <color rgb="FF004E9A"/>
      <name val="Calibri"/>
      <family val="2"/>
      <scheme val="minor"/>
    </font>
    <font>
      <b/>
      <sz val="12"/>
      <color rgb="FFED0000"/>
      <name val="Arial"/>
      <family val="2"/>
    </font>
    <font>
      <b/>
      <sz val="12"/>
      <color rgb="FFED0000"/>
      <name val="Calibri"/>
      <family val="2"/>
      <scheme val="minor"/>
    </font>
    <font>
      <i/>
      <sz val="10"/>
      <color rgb="FF004F88"/>
      <name val="Calibri"/>
      <family val="2"/>
      <scheme val="minor"/>
    </font>
    <font>
      <u/>
      <sz val="11"/>
      <color theme="1"/>
      <name val="Calibri"/>
      <family val="2"/>
      <scheme val="minor"/>
    </font>
    <font>
      <sz val="12"/>
      <color theme="3"/>
      <name val="Calibri"/>
      <family val="2"/>
      <scheme val="minor"/>
    </font>
    <font>
      <b/>
      <sz val="12"/>
      <color theme="3"/>
      <name val="Calibri"/>
      <family val="2"/>
      <scheme val="minor"/>
    </font>
    <font>
      <sz val="14"/>
      <color rgb="FF000000"/>
      <name val="Arial"/>
      <family val="2"/>
    </font>
    <font>
      <i/>
      <sz val="11"/>
      <color rgb="FFFF0000"/>
      <name val="Calibri"/>
      <family val="2"/>
      <scheme val="minor"/>
    </font>
    <font>
      <b/>
      <sz val="12"/>
      <color rgb="FF0070C0"/>
      <name val="Arial"/>
      <family val="2"/>
    </font>
    <font>
      <b/>
      <sz val="12"/>
      <color theme="0" tint="-0.499984740745262"/>
      <name val="Arial"/>
      <family val="2"/>
    </font>
    <font>
      <b/>
      <i/>
      <u/>
      <sz val="12"/>
      <color theme="3"/>
      <name val="Arial"/>
      <family val="2"/>
    </font>
    <font>
      <b/>
      <sz val="12"/>
      <color rgb="FF0070C0"/>
      <name val="Calibri"/>
      <family val="2"/>
      <scheme val="minor"/>
    </font>
    <font>
      <b/>
      <sz val="12"/>
      <color theme="0" tint="-0.499984740745262"/>
      <name val="Calibri"/>
      <family val="2"/>
      <scheme val="minor"/>
    </font>
    <font>
      <b/>
      <i/>
      <sz val="12"/>
      <color theme="1"/>
      <name val="Calibri"/>
      <family val="2"/>
      <scheme val="minor"/>
    </font>
    <font>
      <b/>
      <i/>
      <sz val="12"/>
      <color theme="1"/>
      <name val="Arial"/>
      <family val="2"/>
    </font>
    <font>
      <i/>
      <sz val="14"/>
      <color theme="1"/>
      <name val="Calibri"/>
      <family val="2"/>
      <scheme val="minor"/>
    </font>
    <font>
      <i/>
      <sz val="14"/>
      <color rgb="FF004E9A"/>
      <name val="Arial"/>
      <family val="2"/>
    </font>
    <font>
      <sz val="14"/>
      <color theme="4" tint="-0.249977111117893"/>
      <name val="Arial"/>
      <family val="2"/>
    </font>
    <font>
      <b/>
      <sz val="14"/>
      <color rgb="FFED0000"/>
      <name val="Arial"/>
      <family val="2"/>
    </font>
    <font>
      <b/>
      <sz val="14"/>
      <color theme="3"/>
      <name val="Arial"/>
      <family val="2"/>
    </font>
    <font>
      <sz val="14"/>
      <color theme="3"/>
      <name val="Arial"/>
      <family val="2"/>
    </font>
    <font>
      <sz val="14"/>
      <color rgb="FFFF0000"/>
      <name val="Arial"/>
      <family val="2"/>
    </font>
    <font>
      <b/>
      <i/>
      <u/>
      <sz val="14"/>
      <color theme="1"/>
      <name val="Calibri"/>
      <family val="2"/>
      <scheme val="minor"/>
    </font>
    <font>
      <b/>
      <sz val="14"/>
      <color rgb="FFFF0000"/>
      <name val="Calibri"/>
      <family val="2"/>
      <scheme val="minor"/>
    </font>
    <font>
      <b/>
      <i/>
      <sz val="14"/>
      <color rgb="FF004E9A"/>
      <name val="Arial"/>
      <family val="2"/>
    </font>
    <font>
      <b/>
      <sz val="14"/>
      <color theme="4" tint="-0.249977111117893"/>
      <name val="Arial"/>
      <family val="2"/>
    </font>
    <font>
      <b/>
      <sz val="14"/>
      <color rgb="FFFF0000"/>
      <name val="Arial"/>
      <family val="2"/>
    </font>
    <font>
      <sz val="14"/>
      <color theme="1"/>
      <name val="Calibri"/>
      <family val="2"/>
      <scheme val="minor"/>
    </font>
    <font>
      <b/>
      <sz val="14"/>
      <name val="Arial"/>
      <family val="2"/>
    </font>
    <font>
      <b/>
      <sz val="14"/>
      <color theme="1"/>
      <name val="Arial"/>
      <family val="2"/>
    </font>
    <font>
      <u/>
      <sz val="14"/>
      <name val="Arial"/>
      <family val="2"/>
    </font>
    <font>
      <b/>
      <sz val="12"/>
      <color rgb="FF92D050"/>
      <name val="Arial"/>
      <family val="2"/>
    </font>
    <font>
      <b/>
      <sz val="14"/>
      <color rgb="FF92D050"/>
      <name val="Arial"/>
      <family val="2"/>
    </font>
    <font>
      <b/>
      <sz val="12"/>
      <color rgb="FF92D050"/>
      <name val="Calibri"/>
      <family val="2"/>
      <scheme val="minor"/>
    </font>
    <font>
      <b/>
      <sz val="14"/>
      <color rgb="FF000000"/>
      <name val="Arial"/>
      <family val="2"/>
    </font>
    <font>
      <b/>
      <sz val="12"/>
      <color rgb="FF000000"/>
      <name val="Arial"/>
      <family val="2"/>
    </font>
    <font>
      <b/>
      <i/>
      <sz val="12"/>
      <color rgb="FF000000"/>
      <name val="Arial"/>
      <family val="2"/>
    </font>
    <font>
      <sz val="12"/>
      <color rgb="FF388600"/>
      <name val="Arial"/>
      <family val="2"/>
    </font>
    <font>
      <sz val="14"/>
      <color theme="3"/>
      <name val="Calibri"/>
      <family val="2"/>
      <scheme val="minor"/>
    </font>
    <font>
      <b/>
      <sz val="14"/>
      <color theme="3"/>
      <name val="Calibri"/>
      <family val="2"/>
      <scheme val="minor"/>
    </font>
  </fonts>
  <fills count="26">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rgb="FFB1E5CB"/>
        <bgColor indexed="64"/>
      </patternFill>
    </fill>
    <fill>
      <patternFill patternType="solid">
        <fgColor rgb="FF339966"/>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482"/>
        <bgColor indexed="64"/>
      </patternFill>
    </fill>
  </fills>
  <borders count="34">
    <border>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169" fontId="28" fillId="0" borderId="0" applyFont="0" applyFill="0" applyBorder="0" applyAlignment="0" applyProtection="0"/>
    <xf numFmtId="165" fontId="1" fillId="0" borderId="0" applyFont="0" applyFill="0" applyBorder="0" applyAlignment="0" applyProtection="0"/>
    <xf numFmtId="0" fontId="95" fillId="0" borderId="0" applyNumberFormat="0" applyFill="0" applyBorder="0" applyAlignment="0" applyProtection="0"/>
  </cellStyleXfs>
  <cellXfs count="1047">
    <xf numFmtId="0" fontId="0" fillId="0" borderId="0" xfId="0"/>
    <xf numFmtId="0" fontId="5" fillId="0" borderId="0" xfId="3" applyFont="1" applyBorder="1" applyAlignment="1">
      <alignment horizontal="left"/>
    </xf>
    <xf numFmtId="166" fontId="7" fillId="0" borderId="0" xfId="3" applyNumberFormat="1" applyFont="1" applyBorder="1" applyAlignment="1">
      <alignment horizontal="center"/>
    </xf>
    <xf numFmtId="0" fontId="0" fillId="0" borderId="0" xfId="0" applyAlignment="1">
      <alignment horizontal="center"/>
    </xf>
    <xf numFmtId="0" fontId="7" fillId="0" borderId="0" xfId="3" applyFont="1" applyBorder="1" applyAlignment="1">
      <alignment horizontal="center"/>
    </xf>
    <xf numFmtId="166" fontId="5" fillId="0" borderId="0" xfId="3" applyNumberFormat="1" applyFont="1" applyBorder="1" applyAlignment="1">
      <alignment horizontal="right"/>
    </xf>
    <xf numFmtId="0" fontId="10" fillId="0" borderId="0" xfId="0" applyFont="1"/>
    <xf numFmtId="0" fontId="5" fillId="0" borderId="0" xfId="3" applyFont="1" applyBorder="1" applyAlignment="1">
      <alignment horizontal="center"/>
    </xf>
    <xf numFmtId="0" fontId="7" fillId="0" borderId="0" xfId="3" applyFont="1" applyBorder="1" applyAlignment="1">
      <alignment horizontal="left"/>
    </xf>
    <xf numFmtId="0" fontId="13" fillId="0" borderId="0" xfId="0" applyFont="1"/>
    <xf numFmtId="0" fontId="11" fillId="0" borderId="0" xfId="0" applyFont="1"/>
    <xf numFmtId="0" fontId="15" fillId="0" borderId="5" xfId="0" applyFont="1" applyBorder="1" applyAlignment="1">
      <alignment horizontal="center"/>
    </xf>
    <xf numFmtId="168" fontId="16" fillId="0" borderId="5" xfId="0" applyNumberFormat="1" applyFont="1" applyBorder="1" applyAlignment="1">
      <alignment horizontal="center"/>
    </xf>
    <xf numFmtId="0" fontId="15" fillId="0" borderId="6" xfId="0" applyFont="1" applyBorder="1" applyAlignment="1">
      <alignment horizontal="center"/>
    </xf>
    <xf numFmtId="0" fontId="16" fillId="0" borderId="6" xfId="0" applyFont="1" applyBorder="1" applyAlignment="1">
      <alignment horizontal="center"/>
    </xf>
    <xf numFmtId="0" fontId="16" fillId="0" borderId="5" xfId="0" applyFont="1" applyBorder="1" applyAlignment="1">
      <alignment horizontal="center"/>
    </xf>
    <xf numFmtId="0" fontId="17" fillId="0" borderId="5" xfId="0" applyFont="1" applyBorder="1" applyAlignment="1">
      <alignment horizontal="center"/>
    </xf>
    <xf numFmtId="0" fontId="11" fillId="0" borderId="5" xfId="0" applyFont="1" applyBorder="1" applyAlignment="1">
      <alignment horizontal="center"/>
    </xf>
    <xf numFmtId="0" fontId="18" fillId="0" borderId="7" xfId="0" applyFont="1" applyBorder="1" applyAlignment="1">
      <alignment horizontal="center"/>
    </xf>
    <xf numFmtId="0" fontId="18" fillId="0" borderId="0" xfId="0" applyFont="1" applyAlignment="1">
      <alignment horizontal="center"/>
    </xf>
    <xf numFmtId="0" fontId="18" fillId="0" borderId="7" xfId="0" applyFont="1" applyBorder="1" applyAlignment="1">
      <alignment horizontal="center" wrapText="1"/>
    </xf>
    <xf numFmtId="0" fontId="16" fillId="0" borderId="4" xfId="0" applyFont="1" applyBorder="1" applyAlignment="1">
      <alignment horizontal="center"/>
    </xf>
    <xf numFmtId="0" fontId="19" fillId="0" borderId="4" xfId="0" applyFont="1" applyBorder="1" applyAlignment="1">
      <alignment horizontal="center"/>
    </xf>
    <xf numFmtId="0" fontId="18" fillId="0" borderId="5" xfId="0" applyFont="1" applyBorder="1" applyAlignment="1">
      <alignment horizontal="center"/>
    </xf>
    <xf numFmtId="168" fontId="16" fillId="0" borderId="5" xfId="0" quotePrefix="1" applyNumberFormat="1" applyFont="1" applyBorder="1" applyAlignment="1">
      <alignment horizontal="center"/>
    </xf>
    <xf numFmtId="0" fontId="18" fillId="0" borderId="5" xfId="0" applyFont="1" applyBorder="1" applyAlignment="1">
      <alignment horizontal="center" wrapText="1"/>
    </xf>
    <xf numFmtId="0" fontId="19" fillId="0" borderId="5" xfId="0" applyFont="1" applyBorder="1" applyAlignment="1">
      <alignment horizontal="center" wrapText="1"/>
    </xf>
    <xf numFmtId="0" fontId="16" fillId="0" borderId="5" xfId="0" applyFont="1" applyBorder="1" applyAlignment="1">
      <alignment horizontal="center" wrapText="1"/>
    </xf>
    <xf numFmtId="9" fontId="19" fillId="0" borderId="5" xfId="2" applyFont="1" applyBorder="1" applyAlignment="1">
      <alignment horizontal="center" wrapText="1"/>
    </xf>
    <xf numFmtId="0" fontId="18" fillId="0" borderId="12" xfId="0" applyFont="1" applyBorder="1" applyAlignment="1">
      <alignment horizontal="center"/>
    </xf>
    <xf numFmtId="0" fontId="15" fillId="0" borderId="12" xfId="0" applyFont="1" applyBorder="1" applyAlignment="1">
      <alignment horizontal="center"/>
    </xf>
    <xf numFmtId="9" fontId="18" fillId="0" borderId="0" xfId="2" applyFont="1" applyBorder="1" applyAlignment="1">
      <alignment horizontal="center"/>
    </xf>
    <xf numFmtId="9" fontId="17" fillId="0" borderId="5" xfId="2" applyFont="1" applyFill="1" applyBorder="1" applyAlignment="1">
      <alignment horizontal="center"/>
    </xf>
    <xf numFmtId="9" fontId="21" fillId="0" borderId="5" xfId="2" applyFont="1" applyFill="1" applyBorder="1" applyAlignment="1">
      <alignment horizontal="center"/>
    </xf>
    <xf numFmtId="167" fontId="21" fillId="0" borderId="5" xfId="2" applyNumberFormat="1" applyFont="1" applyFill="1" applyBorder="1" applyAlignment="1">
      <alignment horizontal="center"/>
    </xf>
    <xf numFmtId="167" fontId="16" fillId="0" borderId="8" xfId="2" applyNumberFormat="1" applyFont="1" applyFill="1" applyBorder="1" applyAlignment="1">
      <alignment horizontal="center"/>
    </xf>
    <xf numFmtId="9" fontId="21" fillId="0" borderId="8" xfId="2" applyFont="1" applyFill="1" applyBorder="1" applyAlignment="1">
      <alignment horizontal="center"/>
    </xf>
    <xf numFmtId="167" fontId="17" fillId="0" borderId="8" xfId="2" applyNumberFormat="1" applyFont="1" applyFill="1" applyBorder="1" applyAlignment="1">
      <alignment horizontal="center"/>
    </xf>
    <xf numFmtId="0" fontId="19" fillId="0" borderId="5" xfId="0" applyFont="1" applyBorder="1" applyAlignment="1">
      <alignment horizontal="center"/>
    </xf>
    <xf numFmtId="9" fontId="19" fillId="0" borderId="8" xfId="2" applyFont="1" applyBorder="1" applyAlignment="1">
      <alignment horizontal="center"/>
    </xf>
    <xf numFmtId="9" fontId="19" fillId="0" borderId="5" xfId="2" applyFont="1" applyBorder="1" applyAlignment="1">
      <alignment horizontal="center"/>
    </xf>
    <xf numFmtId="9" fontId="17" fillId="0" borderId="0" xfId="2" applyFont="1" applyBorder="1" applyAlignment="1">
      <alignment horizontal="left"/>
    </xf>
    <xf numFmtId="167" fontId="11" fillId="0" borderId="5" xfId="0" applyNumberFormat="1" applyFont="1" applyBorder="1" applyAlignment="1">
      <alignment horizontal="center"/>
    </xf>
    <xf numFmtId="0" fontId="18" fillId="0" borderId="5" xfId="0" applyFont="1" applyBorder="1" applyAlignment="1">
      <alignment horizontal="left"/>
    </xf>
    <xf numFmtId="168" fontId="18" fillId="2" borderId="5" xfId="0" applyNumberFormat="1" applyFont="1" applyFill="1" applyBorder="1" applyAlignment="1">
      <alignment horizontal="right"/>
    </xf>
    <xf numFmtId="168" fontId="18" fillId="2" borderId="6" xfId="0" applyNumberFormat="1" applyFont="1" applyFill="1" applyBorder="1" applyAlignment="1">
      <alignment horizontal="right"/>
    </xf>
    <xf numFmtId="168" fontId="21" fillId="2" borderId="6" xfId="0" applyNumberFormat="1" applyFont="1" applyFill="1" applyBorder="1" applyAlignment="1">
      <alignment horizontal="right"/>
    </xf>
    <xf numFmtId="168" fontId="21" fillId="2" borderId="5" xfId="0" applyNumberFormat="1" applyFont="1" applyFill="1" applyBorder="1" applyAlignment="1">
      <alignment horizontal="right"/>
    </xf>
    <xf numFmtId="167" fontId="17" fillId="2" borderId="5" xfId="0" applyNumberFormat="1" applyFont="1" applyFill="1" applyBorder="1" applyAlignment="1">
      <alignment horizontal="right"/>
    </xf>
    <xf numFmtId="167" fontId="16" fillId="2" borderId="5" xfId="0" applyNumberFormat="1" applyFont="1" applyFill="1" applyBorder="1" applyAlignment="1">
      <alignment horizontal="center"/>
    </xf>
    <xf numFmtId="167" fontId="17" fillId="2" borderId="5" xfId="0" applyNumberFormat="1" applyFont="1" applyFill="1" applyBorder="1" applyAlignment="1">
      <alignment horizontal="center"/>
    </xf>
    <xf numFmtId="0" fontId="10" fillId="0" borderId="12" xfId="0" applyFont="1" applyBorder="1" applyAlignment="1">
      <alignment horizontal="center"/>
    </xf>
    <xf numFmtId="0" fontId="17" fillId="0" borderId="0" xfId="0" applyFont="1"/>
    <xf numFmtId="0" fontId="6" fillId="0" borderId="12" xfId="0" applyFont="1" applyBorder="1"/>
    <xf numFmtId="9" fontId="10" fillId="0" borderId="0" xfId="2" applyFont="1" applyAlignment="1">
      <alignment horizontal="center"/>
    </xf>
    <xf numFmtId="167" fontId="17" fillId="0" borderId="5" xfId="2" applyNumberFormat="1" applyFont="1" applyFill="1" applyBorder="1" applyAlignment="1">
      <alignment horizontal="center"/>
    </xf>
    <xf numFmtId="167" fontId="16" fillId="0" borderId="5" xfId="2" applyNumberFormat="1" applyFont="1" applyFill="1" applyBorder="1" applyAlignment="1">
      <alignment horizontal="center"/>
    </xf>
    <xf numFmtId="167" fontId="19" fillId="2" borderId="5" xfId="0" applyNumberFormat="1" applyFont="1" applyFill="1" applyBorder="1" applyAlignment="1">
      <alignment horizontal="left"/>
    </xf>
    <xf numFmtId="9" fontId="19" fillId="2" borderId="5" xfId="2" applyFont="1" applyFill="1" applyBorder="1" applyAlignment="1">
      <alignment horizontal="center"/>
    </xf>
    <xf numFmtId="167" fontId="17" fillId="0" borderId="0" xfId="2" applyNumberFormat="1" applyFont="1" applyBorder="1" applyAlignment="1">
      <alignment horizontal="left"/>
    </xf>
    <xf numFmtId="0" fontId="15" fillId="2" borderId="0" xfId="0" applyFont="1" applyFill="1" applyAlignment="1">
      <alignment horizontal="center"/>
    </xf>
    <xf numFmtId="168" fontId="18" fillId="0" borderId="5" xfId="0" applyNumberFormat="1" applyFont="1" applyBorder="1" applyAlignment="1">
      <alignment horizontal="right"/>
    </xf>
    <xf numFmtId="167" fontId="16" fillId="0" borderId="5" xfId="0" applyNumberFormat="1" applyFont="1" applyBorder="1" applyAlignment="1">
      <alignment horizontal="center"/>
    </xf>
    <xf numFmtId="167" fontId="17" fillId="0" borderId="5" xfId="0" applyNumberFormat="1" applyFont="1" applyBorder="1" applyAlignment="1">
      <alignment horizontal="center"/>
    </xf>
    <xf numFmtId="167" fontId="19" fillId="3" borderId="5" xfId="0" applyNumberFormat="1" applyFont="1" applyFill="1" applyBorder="1" applyAlignment="1">
      <alignment horizontal="center"/>
    </xf>
    <xf numFmtId="167" fontId="19" fillId="0" borderId="5" xfId="0" applyNumberFormat="1" applyFont="1" applyBorder="1" applyAlignment="1">
      <alignment horizontal="center"/>
    </xf>
    <xf numFmtId="167" fontId="19" fillId="0" borderId="5" xfId="0" applyNumberFormat="1" applyFont="1" applyBorder="1" applyAlignment="1">
      <alignment horizontal="left"/>
    </xf>
    <xf numFmtId="0" fontId="18" fillId="0" borderId="0" xfId="0" applyFont="1" applyAlignment="1">
      <alignment horizontal="left"/>
    </xf>
    <xf numFmtId="167" fontId="11" fillId="0" borderId="5" xfId="0" applyNumberFormat="1" applyFont="1" applyBorder="1"/>
    <xf numFmtId="167" fontId="11" fillId="0" borderId="5" xfId="0" applyNumberFormat="1" applyFont="1" applyBorder="1" applyAlignment="1">
      <alignment horizontal="left"/>
    </xf>
    <xf numFmtId="0" fontId="18" fillId="0" borderId="8" xfId="0" applyFont="1" applyBorder="1" applyAlignment="1">
      <alignment horizontal="center"/>
    </xf>
    <xf numFmtId="168" fontId="15" fillId="0" borderId="5" xfId="0" applyNumberFormat="1" applyFont="1" applyBorder="1" applyAlignment="1">
      <alignment horizontal="right"/>
    </xf>
    <xf numFmtId="168" fontId="15" fillId="0" borderId="6" xfId="0" applyNumberFormat="1" applyFont="1" applyBorder="1" applyAlignment="1">
      <alignment horizontal="right"/>
    </xf>
    <xf numFmtId="168" fontId="16" fillId="0" borderId="6" xfId="0" applyNumberFormat="1" applyFont="1" applyBorder="1" applyAlignment="1">
      <alignment horizontal="right"/>
    </xf>
    <xf numFmtId="168" fontId="16" fillId="0" borderId="5" xfId="0" applyNumberFormat="1" applyFont="1" applyBorder="1" applyAlignment="1">
      <alignment horizontal="right"/>
    </xf>
    <xf numFmtId="167" fontId="11" fillId="0" borderId="5" xfId="0" applyNumberFormat="1" applyFont="1" applyBorder="1" applyAlignment="1">
      <alignment horizontal="right"/>
    </xf>
    <xf numFmtId="167" fontId="11" fillId="0" borderId="6" xfId="0" applyNumberFormat="1" applyFont="1" applyBorder="1" applyAlignment="1">
      <alignment horizontal="center"/>
    </xf>
    <xf numFmtId="167" fontId="18" fillId="0" borderId="6" xfId="0" applyNumberFormat="1" applyFont="1" applyBorder="1" applyAlignment="1">
      <alignment horizontal="left"/>
    </xf>
    <xf numFmtId="0" fontId="24" fillId="0" borderId="5" xfId="0" applyFont="1" applyBorder="1"/>
    <xf numFmtId="167" fontId="21" fillId="0" borderId="6" xfId="0" applyNumberFormat="1" applyFont="1" applyBorder="1" applyAlignment="1">
      <alignment horizontal="left"/>
    </xf>
    <xf numFmtId="167" fontId="18" fillId="0" borderId="5" xfId="0" applyNumberFormat="1" applyFont="1" applyBorder="1" applyAlignment="1">
      <alignment horizontal="left"/>
    </xf>
    <xf numFmtId="167" fontId="21" fillId="0" borderId="5" xfId="0" applyNumberFormat="1" applyFont="1" applyBorder="1" applyAlignment="1">
      <alignment horizontal="left"/>
    </xf>
    <xf numFmtId="167" fontId="17" fillId="0" borderId="5" xfId="0" applyNumberFormat="1" applyFont="1" applyBorder="1" applyAlignment="1">
      <alignment horizontal="left"/>
    </xf>
    <xf numFmtId="166" fontId="16" fillId="0" borderId="5" xfId="0" applyNumberFormat="1" applyFont="1" applyBorder="1" applyAlignment="1">
      <alignment horizontal="center"/>
    </xf>
    <xf numFmtId="166" fontId="11" fillId="0" borderId="6" xfId="0" applyNumberFormat="1" applyFont="1" applyBorder="1" applyAlignment="1">
      <alignment horizontal="center"/>
    </xf>
    <xf numFmtId="167" fontId="11" fillId="0" borderId="5" xfId="2" applyNumberFormat="1" applyFont="1" applyFill="1" applyBorder="1" applyAlignment="1">
      <alignment horizontal="center"/>
    </xf>
    <xf numFmtId="0" fontId="26" fillId="0" borderId="0" xfId="0" applyFont="1"/>
    <xf numFmtId="0" fontId="18" fillId="0" borderId="0" xfId="0" applyFont="1"/>
    <xf numFmtId="17" fontId="0" fillId="0" borderId="0" xfId="0" quotePrefix="1" applyNumberFormat="1"/>
    <xf numFmtId="0" fontId="3" fillId="0" borderId="0" xfId="0" applyFont="1"/>
    <xf numFmtId="0" fontId="2" fillId="0" borderId="0" xfId="0" applyFont="1"/>
    <xf numFmtId="0" fontId="15" fillId="0" borderId="7" xfId="0" applyFont="1" applyBorder="1" applyAlignment="1">
      <alignment horizontal="center"/>
    </xf>
    <xf numFmtId="168" fontId="18" fillId="0" borderId="0" xfId="0" applyNumberFormat="1" applyFont="1"/>
    <xf numFmtId="168" fontId="18" fillId="0" borderId="12" xfId="0" applyNumberFormat="1" applyFont="1" applyBorder="1" applyAlignment="1">
      <alignment horizontal="right"/>
    </xf>
    <xf numFmtId="0" fontId="18" fillId="0" borderId="12" xfId="0" applyFont="1" applyBorder="1" applyAlignment="1">
      <alignment horizontal="right"/>
    </xf>
    <xf numFmtId="0" fontId="10" fillId="0" borderId="12" xfId="0" applyFont="1" applyBorder="1"/>
    <xf numFmtId="168" fontId="18" fillId="0" borderId="12" xfId="0" applyNumberFormat="1" applyFont="1" applyBorder="1"/>
    <xf numFmtId="1" fontId="15" fillId="0" borderId="5" xfId="0" applyNumberFormat="1" applyFont="1" applyBorder="1" applyAlignment="1">
      <alignment horizontal="center"/>
    </xf>
    <xf numFmtId="0" fontId="27" fillId="0" borderId="0" xfId="0" applyFont="1"/>
    <xf numFmtId="0" fontId="5" fillId="0" borderId="0" xfId="3" applyFont="1" applyAlignment="1">
      <alignment horizontal="center"/>
    </xf>
    <xf numFmtId="166" fontId="7" fillId="6" borderId="0" xfId="3" applyNumberFormat="1" applyFont="1" applyFill="1" applyAlignment="1">
      <alignment horizontal="center"/>
    </xf>
    <xf numFmtId="0" fontId="5" fillId="0" borderId="0" xfId="3" applyFont="1" applyAlignment="1">
      <alignment horizontal="left"/>
    </xf>
    <xf numFmtId="4" fontId="7" fillId="7" borderId="21" xfId="3" applyNumberFormat="1" applyFont="1" applyFill="1" applyBorder="1" applyAlignment="1">
      <alignment horizontal="center"/>
    </xf>
    <xf numFmtId="0" fontId="7" fillId="5" borderId="0" xfId="3" applyFont="1" applyFill="1" applyAlignment="1">
      <alignment horizontal="left"/>
    </xf>
    <xf numFmtId="0" fontId="29" fillId="0" borderId="0" xfId="0" applyFont="1"/>
    <xf numFmtId="15" fontId="5" fillId="0" borderId="0" xfId="3" applyNumberFormat="1" applyFont="1" applyBorder="1" applyAlignment="1">
      <alignment horizontal="center"/>
    </xf>
    <xf numFmtId="0" fontId="5" fillId="0" borderId="0" xfId="3" applyNumberFormat="1" applyFont="1" applyBorder="1" applyAlignment="1">
      <alignment horizontal="center"/>
    </xf>
    <xf numFmtId="15" fontId="5" fillId="0" borderId="9" xfId="3" applyNumberFormat="1" applyFont="1" applyBorder="1" applyAlignment="1">
      <alignment horizontal="center"/>
    </xf>
    <xf numFmtId="0" fontId="5" fillId="0" borderId="10" xfId="3" applyNumberFormat="1" applyFont="1" applyBorder="1" applyAlignment="1">
      <alignment horizontal="center"/>
    </xf>
    <xf numFmtId="0" fontId="0" fillId="0" borderId="10" xfId="0" applyBorder="1"/>
    <xf numFmtId="0" fontId="5" fillId="0" borderId="10" xfId="3" applyFont="1" applyBorder="1" applyAlignment="1">
      <alignment horizontal="center"/>
    </xf>
    <xf numFmtId="166" fontId="5" fillId="0" borderId="11" xfId="3" applyNumberFormat="1" applyFont="1" applyBorder="1" applyAlignment="1">
      <alignment horizontal="right"/>
    </xf>
    <xf numFmtId="166" fontId="5" fillId="0" borderId="14" xfId="3" applyNumberFormat="1" applyFont="1" applyBorder="1" applyAlignment="1">
      <alignment horizontal="right"/>
    </xf>
    <xf numFmtId="166" fontId="5" fillId="0" borderId="0" xfId="3" applyNumberFormat="1" applyFont="1" applyBorder="1" applyAlignment="1">
      <alignment horizontal="center"/>
    </xf>
    <xf numFmtId="166" fontId="0" fillId="0" borderId="0" xfId="0" applyNumberFormat="1"/>
    <xf numFmtId="15" fontId="5" fillId="0" borderId="13" xfId="3" applyNumberFormat="1" applyFont="1" applyBorder="1" applyAlignment="1">
      <alignment horizontal="center"/>
    </xf>
    <xf numFmtId="15" fontId="5" fillId="0" borderId="16" xfId="3" applyNumberFormat="1" applyFont="1" applyBorder="1" applyAlignment="1">
      <alignment horizontal="center"/>
    </xf>
    <xf numFmtId="0" fontId="5" fillId="0" borderId="17" xfId="3" applyNumberFormat="1" applyFont="1" applyBorder="1" applyAlignment="1">
      <alignment horizontal="center"/>
    </xf>
    <xf numFmtId="0" fontId="5" fillId="0" borderId="17" xfId="3" applyFont="1" applyBorder="1" applyAlignment="1">
      <alignment horizontal="left"/>
    </xf>
    <xf numFmtId="166" fontId="5" fillId="0" borderId="17" xfId="3" applyNumberFormat="1" applyFont="1" applyBorder="1" applyAlignment="1">
      <alignment horizontal="center"/>
    </xf>
    <xf numFmtId="166" fontId="5" fillId="0" borderId="18" xfId="3" applyNumberFormat="1" applyFont="1" applyBorder="1" applyAlignment="1">
      <alignment horizontal="right"/>
    </xf>
    <xf numFmtId="0" fontId="5" fillId="0" borderId="0" xfId="0" applyFont="1"/>
    <xf numFmtId="0" fontId="30" fillId="0" borderId="0" xfId="3" applyFont="1" applyAlignment="1">
      <alignment horizontal="center"/>
    </xf>
    <xf numFmtId="0" fontId="30" fillId="0" borderId="0" xfId="3" applyNumberFormat="1" applyFont="1" applyAlignment="1">
      <alignment horizontal="center"/>
    </xf>
    <xf numFmtId="0" fontId="4" fillId="0" borderId="0" xfId="3" applyAlignment="1">
      <alignment horizontal="center"/>
    </xf>
    <xf numFmtId="166" fontId="30" fillId="0" borderId="0" xfId="3" applyNumberFormat="1" applyFont="1" applyAlignment="1">
      <alignment horizontal="center"/>
    </xf>
    <xf numFmtId="166" fontId="5" fillId="0" borderId="0" xfId="3" applyNumberFormat="1" applyFont="1" applyAlignment="1">
      <alignment horizontal="center"/>
    </xf>
    <xf numFmtId="166" fontId="5" fillId="0" borderId="0" xfId="3" applyNumberFormat="1" applyFont="1" applyAlignment="1">
      <alignment horizontal="left"/>
    </xf>
    <xf numFmtId="15" fontId="5" fillId="0" borderId="0" xfId="3" applyNumberFormat="1" applyFont="1" applyAlignment="1">
      <alignment horizontal="center"/>
    </xf>
    <xf numFmtId="0" fontId="5" fillId="0" borderId="0" xfId="3" applyNumberFormat="1" applyFont="1" applyAlignment="1">
      <alignment horizontal="center"/>
    </xf>
    <xf numFmtId="0" fontId="18" fillId="2" borderId="0" xfId="0" applyFont="1" applyFill="1" applyAlignment="1">
      <alignment horizontal="center"/>
    </xf>
    <xf numFmtId="0" fontId="31" fillId="0" borderId="0" xfId="0" applyFont="1" applyAlignment="1">
      <alignment horizontal="center"/>
    </xf>
    <xf numFmtId="15" fontId="18" fillId="0" borderId="0" xfId="0" applyNumberFormat="1" applyFont="1" applyAlignment="1">
      <alignment horizontal="center"/>
    </xf>
    <xf numFmtId="0" fontId="15" fillId="0" borderId="4" xfId="0" applyFont="1" applyBorder="1" applyAlignment="1">
      <alignment horizontal="center"/>
    </xf>
    <xf numFmtId="0" fontId="15" fillId="2" borderId="8" xfId="0" applyFont="1" applyFill="1" applyBorder="1" applyAlignment="1">
      <alignment horizontal="center"/>
    </xf>
    <xf numFmtId="15" fontId="15" fillId="2" borderId="5" xfId="0" applyNumberFormat="1" applyFont="1" applyFill="1" applyBorder="1" applyAlignment="1">
      <alignment horizontal="center"/>
    </xf>
    <xf numFmtId="0" fontId="15" fillId="2" borderId="5" xfId="0" applyFont="1" applyFill="1" applyBorder="1" applyAlignment="1">
      <alignment horizontal="center"/>
    </xf>
    <xf numFmtId="4" fontId="15" fillId="2" borderId="5" xfId="0" applyNumberFormat="1" applyFont="1" applyFill="1" applyBorder="1" applyAlignment="1">
      <alignment horizontal="center"/>
    </xf>
    <xf numFmtId="15" fontId="18" fillId="0" borderId="5" xfId="0" applyNumberFormat="1" applyFont="1" applyBorder="1" applyAlignment="1">
      <alignment horizontal="center"/>
    </xf>
    <xf numFmtId="168" fontId="33" fillId="2" borderId="0" xfId="0" applyNumberFormat="1" applyFont="1" applyFill="1" applyAlignment="1">
      <alignment horizontal="center"/>
    </xf>
    <xf numFmtId="168" fontId="18" fillId="0" borderId="8" xfId="0" applyNumberFormat="1" applyFont="1" applyBorder="1" applyAlignment="1">
      <alignment horizontal="right"/>
    </xf>
    <xf numFmtId="15" fontId="15" fillId="0" borderId="5" xfId="0" applyNumberFormat="1" applyFont="1" applyBorder="1" applyAlignment="1">
      <alignment horizontal="center"/>
    </xf>
    <xf numFmtId="0" fontId="18" fillId="0" borderId="8" xfId="0" applyFont="1" applyBorder="1" applyAlignment="1">
      <alignment horizontal="left"/>
    </xf>
    <xf numFmtId="168" fontId="15" fillId="0" borderId="0" xfId="0" applyNumberFormat="1" applyFont="1" applyAlignment="1">
      <alignment horizontal="center"/>
    </xf>
    <xf numFmtId="0" fontId="15" fillId="2" borderId="12" xfId="0" applyFont="1" applyFill="1" applyBorder="1" applyAlignment="1">
      <alignment horizontal="center"/>
    </xf>
    <xf numFmtId="15" fontId="18" fillId="0" borderId="7" xfId="0" applyNumberFormat="1" applyFont="1" applyBorder="1" applyAlignment="1">
      <alignment horizontal="center"/>
    </xf>
    <xf numFmtId="0" fontId="18" fillId="0" borderId="7" xfId="0" applyFont="1" applyBorder="1" applyAlignment="1">
      <alignment horizontal="left"/>
    </xf>
    <xf numFmtId="168" fontId="18" fillId="0" borderId="12" xfId="0" applyNumberFormat="1" applyFont="1" applyBorder="1" applyAlignment="1">
      <alignment horizontal="left"/>
    </xf>
    <xf numFmtId="168" fontId="18" fillId="0" borderId="0" xfId="0" applyNumberFormat="1" applyFont="1" applyAlignment="1">
      <alignment horizontal="right"/>
    </xf>
    <xf numFmtId="0" fontId="3" fillId="0" borderId="0" xfId="0" applyFont="1" applyAlignment="1">
      <alignment horizontal="center"/>
    </xf>
    <xf numFmtId="0" fontId="35" fillId="0" borderId="0" xfId="0" applyFont="1"/>
    <xf numFmtId="167" fontId="0" fillId="0" borderId="0" xfId="0" applyNumberFormat="1"/>
    <xf numFmtId="14" fontId="0" fillId="0" borderId="0" xfId="0" applyNumberFormat="1"/>
    <xf numFmtId="167" fontId="36" fillId="0" borderId="0" xfId="0" applyNumberFormat="1" applyFont="1"/>
    <xf numFmtId="167" fontId="3" fillId="0" borderId="1" xfId="0" applyNumberFormat="1" applyFont="1" applyBorder="1"/>
    <xf numFmtId="0" fontId="0" fillId="0" borderId="0" xfId="0" applyAlignment="1">
      <alignment horizontal="left"/>
    </xf>
    <xf numFmtId="0" fontId="38" fillId="0" borderId="0" xfId="0" applyFont="1" applyAlignment="1">
      <alignment wrapText="1"/>
    </xf>
    <xf numFmtId="167" fontId="3" fillId="0" borderId="0" xfId="0" applyNumberFormat="1" applyFont="1"/>
    <xf numFmtId="0" fontId="40" fillId="0" borderId="0" xfId="0" applyFont="1"/>
    <xf numFmtId="0" fontId="42" fillId="0" borderId="0" xfId="0" applyFont="1"/>
    <xf numFmtId="0" fontId="28" fillId="0" borderId="0" xfId="0" applyFont="1"/>
    <xf numFmtId="167" fontId="0" fillId="0" borderId="0" xfId="5" applyNumberFormat="1" applyFont="1"/>
    <xf numFmtId="8" fontId="0" fillId="0" borderId="0" xfId="0" applyNumberFormat="1" applyAlignment="1">
      <alignment horizontal="left"/>
    </xf>
    <xf numFmtId="164" fontId="0" fillId="0" borderId="0" xfId="1" applyFont="1"/>
    <xf numFmtId="8" fontId="0" fillId="0" borderId="0" xfId="0" applyNumberFormat="1"/>
    <xf numFmtId="0" fontId="6" fillId="0" borderId="5" xfId="0" applyFont="1" applyBorder="1" applyAlignment="1">
      <alignment horizontal="center"/>
    </xf>
    <xf numFmtId="0" fontId="10" fillId="0" borderId="8" xfId="0" applyFont="1" applyBorder="1"/>
    <xf numFmtId="167" fontId="18" fillId="0" borderId="12" xfId="0" applyNumberFormat="1" applyFont="1" applyBorder="1"/>
    <xf numFmtId="167" fontId="10" fillId="0" borderId="12" xfId="0" applyNumberFormat="1" applyFont="1" applyBorder="1"/>
    <xf numFmtId="167" fontId="18" fillId="0" borderId="12" xfId="0" applyNumberFormat="1" applyFont="1" applyBorder="1" applyAlignment="1">
      <alignment horizontal="center"/>
    </xf>
    <xf numFmtId="167" fontId="18" fillId="0" borderId="12" xfId="0" applyNumberFormat="1" applyFont="1" applyBorder="1" applyAlignment="1">
      <alignment horizontal="right"/>
    </xf>
    <xf numFmtId="167" fontId="10" fillId="0" borderId="7" xfId="0" applyNumberFormat="1" applyFont="1" applyBorder="1"/>
    <xf numFmtId="0" fontId="16" fillId="0" borderId="0" xfId="0" applyFont="1" applyAlignment="1">
      <alignment horizontal="right"/>
    </xf>
    <xf numFmtId="166" fontId="5" fillId="7" borderId="0" xfId="3" applyNumberFormat="1" applyFont="1" applyFill="1" applyBorder="1" applyAlignment="1">
      <alignment horizontal="right"/>
    </xf>
    <xf numFmtId="167" fontId="12" fillId="0" borderId="5" xfId="2" applyNumberFormat="1" applyFont="1" applyFill="1" applyBorder="1" applyAlignment="1">
      <alignment horizontal="center"/>
    </xf>
    <xf numFmtId="9" fontId="19" fillId="0" borderId="5" xfId="2" applyFont="1" applyFill="1" applyBorder="1" applyAlignment="1">
      <alignment horizontal="center" wrapText="1"/>
    </xf>
    <xf numFmtId="9" fontId="19" fillId="0" borderId="2" xfId="2" applyFont="1" applyFill="1" applyBorder="1" applyAlignment="1">
      <alignment horizontal="center" wrapText="1"/>
    </xf>
    <xf numFmtId="9" fontId="51" fillId="0" borderId="2" xfId="2" applyFont="1" applyFill="1" applyBorder="1" applyAlignment="1">
      <alignment horizontal="center" wrapText="1"/>
    </xf>
    <xf numFmtId="9" fontId="44" fillId="0" borderId="5" xfId="2" applyFont="1" applyFill="1" applyBorder="1" applyAlignment="1">
      <alignment horizontal="center"/>
    </xf>
    <xf numFmtId="9" fontId="16" fillId="0" borderId="5" xfId="2" applyFont="1" applyFill="1" applyBorder="1" applyAlignment="1">
      <alignment horizontal="center"/>
    </xf>
    <xf numFmtId="167" fontId="16" fillId="0" borderId="3" xfId="2" applyNumberFormat="1" applyFont="1" applyFill="1" applyBorder="1" applyAlignment="1">
      <alignment horizontal="center"/>
    </xf>
    <xf numFmtId="9" fontId="16" fillId="0" borderId="3" xfId="2" applyFont="1" applyFill="1" applyBorder="1" applyAlignment="1">
      <alignment horizontal="center"/>
    </xf>
    <xf numFmtId="9" fontId="52" fillId="0" borderId="3" xfId="2" applyFont="1" applyFill="1" applyBorder="1" applyAlignment="1">
      <alignment horizontal="center"/>
    </xf>
    <xf numFmtId="9" fontId="52" fillId="0" borderId="5" xfId="2" applyFont="1" applyFill="1" applyBorder="1" applyAlignment="1">
      <alignment horizontal="center"/>
    </xf>
    <xf numFmtId="9" fontId="52" fillId="0" borderId="5" xfId="2" applyFont="1" applyFill="1" applyBorder="1" applyAlignment="1">
      <alignment horizontal="center" wrapText="1"/>
    </xf>
    <xf numFmtId="0" fontId="15" fillId="8" borderId="5" xfId="0" applyFont="1" applyFill="1" applyBorder="1" applyAlignment="1">
      <alignment horizontal="center"/>
    </xf>
    <xf numFmtId="167" fontId="18" fillId="8" borderId="12" xfId="0" applyNumberFormat="1" applyFont="1" applyFill="1" applyBorder="1" applyAlignment="1">
      <alignment horizontal="center"/>
    </xf>
    <xf numFmtId="0" fontId="18" fillId="8" borderId="12" xfId="0" applyFont="1" applyFill="1" applyBorder="1" applyAlignment="1">
      <alignment horizontal="center"/>
    </xf>
    <xf numFmtId="0" fontId="16" fillId="0" borderId="8" xfId="0" applyFont="1" applyBorder="1" applyAlignment="1">
      <alignment horizontal="center"/>
    </xf>
    <xf numFmtId="0" fontId="16" fillId="0" borderId="0" xfId="0" applyFont="1" applyAlignment="1">
      <alignment horizontal="center" wrapText="1"/>
    </xf>
    <xf numFmtId="0" fontId="16" fillId="0" borderId="0" xfId="0" applyFont="1" applyAlignment="1">
      <alignment horizontal="center"/>
    </xf>
    <xf numFmtId="0" fontId="46" fillId="0" borderId="0" xfId="0" applyFont="1" applyAlignment="1">
      <alignment horizontal="center"/>
    </xf>
    <xf numFmtId="14" fontId="19" fillId="0" borderId="2" xfId="2" applyNumberFormat="1" applyFont="1" applyFill="1" applyBorder="1" applyAlignment="1">
      <alignment horizontal="center" wrapText="1"/>
    </xf>
    <xf numFmtId="0" fontId="17" fillId="0" borderId="0" xfId="0" applyFont="1" applyAlignment="1">
      <alignment horizontal="center"/>
    </xf>
    <xf numFmtId="0" fontId="11" fillId="0" borderId="0" xfId="0" applyFont="1" applyAlignment="1">
      <alignment horizontal="center" wrapText="1"/>
    </xf>
    <xf numFmtId="17" fontId="0" fillId="0" borderId="0" xfId="0" applyNumberFormat="1"/>
    <xf numFmtId="0" fontId="6" fillId="4" borderId="0" xfId="0" applyFont="1" applyFill="1"/>
    <xf numFmtId="0" fontId="10" fillId="4" borderId="0" xfId="0" applyFont="1" applyFill="1"/>
    <xf numFmtId="0" fontId="15" fillId="4" borderId="0" xfId="0" applyFont="1" applyFill="1"/>
    <xf numFmtId="8" fontId="56" fillId="0" borderId="0" xfId="0" applyNumberFormat="1" applyFont="1"/>
    <xf numFmtId="167" fontId="17" fillId="0" borderId="6" xfId="0" applyNumberFormat="1" applyFont="1" applyBorder="1" applyAlignment="1">
      <alignment horizontal="center"/>
    </xf>
    <xf numFmtId="0" fontId="38" fillId="0" borderId="0" xfId="0" applyFont="1"/>
    <xf numFmtId="167" fontId="17" fillId="0" borderId="0" xfId="2" applyNumberFormat="1" applyFont="1" applyFill="1" applyBorder="1" applyAlignment="1">
      <alignment horizontal="left"/>
    </xf>
    <xf numFmtId="0" fontId="13" fillId="0" borderId="0" xfId="0" applyFont="1" applyAlignment="1">
      <alignment horizontal="left"/>
    </xf>
    <xf numFmtId="0" fontId="11" fillId="0" borderId="0" xfId="0" applyFont="1" applyAlignment="1">
      <alignment horizontal="left"/>
    </xf>
    <xf numFmtId="9" fontId="10" fillId="0" borderId="0" xfId="2" applyFont="1" applyFill="1" applyAlignment="1">
      <alignment horizontal="center"/>
    </xf>
    <xf numFmtId="9" fontId="19" fillId="0" borderId="5" xfId="2" applyFont="1" applyFill="1" applyBorder="1" applyAlignment="1">
      <alignment horizontal="center"/>
    </xf>
    <xf numFmtId="0" fontId="6" fillId="9" borderId="0" xfId="0" applyFont="1" applyFill="1" applyAlignment="1">
      <alignment horizontal="center"/>
    </xf>
    <xf numFmtId="0" fontId="10" fillId="9" borderId="0" xfId="0" applyFont="1" applyFill="1"/>
    <xf numFmtId="166" fontId="8" fillId="9" borderId="1" xfId="3" applyNumberFormat="1" applyFont="1" applyFill="1" applyBorder="1" applyAlignment="1">
      <alignment horizontal="right"/>
    </xf>
    <xf numFmtId="166" fontId="5" fillId="9" borderId="0" xfId="3" applyNumberFormat="1" applyFont="1" applyFill="1" applyBorder="1" applyAlignment="1">
      <alignment horizontal="right"/>
    </xf>
    <xf numFmtId="0" fontId="6" fillId="10" borderId="0" xfId="0" applyFont="1" applyFill="1" applyAlignment="1">
      <alignment horizontal="center"/>
    </xf>
    <xf numFmtId="166" fontId="8" fillId="10" borderId="0" xfId="3" applyNumberFormat="1" applyFont="1" applyFill="1" applyBorder="1" applyAlignment="1">
      <alignment horizontal="center"/>
    </xf>
    <xf numFmtId="0" fontId="10" fillId="10" borderId="0" xfId="0" applyFont="1" applyFill="1"/>
    <xf numFmtId="166" fontId="8" fillId="10" borderId="1" xfId="3" applyNumberFormat="1" applyFont="1" applyFill="1" applyBorder="1" applyAlignment="1">
      <alignment horizontal="right"/>
    </xf>
    <xf numFmtId="0" fontId="5" fillId="10" borderId="0" xfId="3" applyFont="1" applyFill="1" applyBorder="1" applyAlignment="1">
      <alignment horizontal="center"/>
    </xf>
    <xf numFmtId="166" fontId="6" fillId="10" borderId="0" xfId="0" applyNumberFormat="1" applyFont="1" applyFill="1"/>
    <xf numFmtId="9" fontId="11" fillId="10" borderId="0" xfId="2" applyFont="1" applyFill="1"/>
    <xf numFmtId="0" fontId="10" fillId="10" borderId="0" xfId="0" applyFont="1" applyFill="1" applyAlignment="1">
      <alignment horizontal="right"/>
    </xf>
    <xf numFmtId="166" fontId="5" fillId="10" borderId="0" xfId="3" applyNumberFormat="1" applyFont="1" applyFill="1" applyBorder="1" applyAlignment="1">
      <alignment horizontal="right"/>
    </xf>
    <xf numFmtId="0" fontId="10" fillId="9" borderId="0" xfId="0" applyFont="1" applyFill="1" applyAlignment="1">
      <alignment horizontal="right"/>
    </xf>
    <xf numFmtId="166" fontId="6" fillId="9" borderId="0" xfId="0" applyNumberFormat="1" applyFont="1" applyFill="1"/>
    <xf numFmtId="9" fontId="11" fillId="9" borderId="0" xfId="2" applyFont="1" applyFill="1"/>
    <xf numFmtId="166" fontId="9" fillId="9" borderId="0" xfId="3" applyNumberFormat="1" applyFont="1" applyFill="1" applyBorder="1" applyAlignment="1">
      <alignment horizontal="right"/>
    </xf>
    <xf numFmtId="0" fontId="59" fillId="11" borderId="0" xfId="0" applyFont="1" applyFill="1"/>
    <xf numFmtId="0" fontId="59" fillId="11" borderId="0" xfId="0" applyFont="1" applyFill="1" applyAlignment="1">
      <alignment horizontal="center"/>
    </xf>
    <xf numFmtId="0" fontId="20" fillId="12" borderId="9" xfId="0" applyFont="1" applyFill="1" applyBorder="1" applyAlignment="1">
      <alignment horizontal="left"/>
    </xf>
    <xf numFmtId="0" fontId="58" fillId="12" borderId="10" xfId="0" applyFont="1" applyFill="1" applyBorder="1"/>
    <xf numFmtId="14" fontId="10" fillId="12" borderId="11" xfId="0" applyNumberFormat="1" applyFont="1" applyFill="1" applyBorder="1"/>
    <xf numFmtId="0" fontId="18" fillId="12" borderId="13" xfId="0" applyFont="1" applyFill="1" applyBorder="1"/>
    <xf numFmtId="0" fontId="18" fillId="12" borderId="0" xfId="0" applyFont="1" applyFill="1"/>
    <xf numFmtId="167" fontId="57" fillId="12" borderId="14" xfId="0" applyNumberFormat="1" applyFont="1" applyFill="1" applyBorder="1"/>
    <xf numFmtId="0" fontId="22" fillId="12" borderId="13" xfId="0" applyFont="1" applyFill="1" applyBorder="1" applyAlignment="1">
      <alignment horizontal="left"/>
    </xf>
    <xf numFmtId="14" fontId="18" fillId="12" borderId="0" xfId="0" applyNumberFormat="1" applyFont="1" applyFill="1"/>
    <xf numFmtId="0" fontId="18" fillId="12" borderId="14" xfId="0" applyFont="1" applyFill="1" applyBorder="1" applyAlignment="1">
      <alignment horizontal="center"/>
    </xf>
    <xf numFmtId="0" fontId="18" fillId="12" borderId="13" xfId="0" applyFont="1" applyFill="1" applyBorder="1" applyAlignment="1">
      <alignment horizontal="left"/>
    </xf>
    <xf numFmtId="167" fontId="18" fillId="12" borderId="0" xfId="0" applyNumberFormat="1" applyFont="1" applyFill="1"/>
    <xf numFmtId="167" fontId="18" fillId="12" borderId="14" xfId="0" applyNumberFormat="1" applyFont="1" applyFill="1" applyBorder="1" applyAlignment="1">
      <alignment horizontal="center"/>
    </xf>
    <xf numFmtId="0" fontId="10" fillId="12" borderId="13" xfId="0" applyFont="1" applyFill="1" applyBorder="1"/>
    <xf numFmtId="0" fontId="57" fillId="12" borderId="4" xfId="0" applyFont="1" applyFill="1" applyBorder="1"/>
    <xf numFmtId="0" fontId="10" fillId="12" borderId="14" xfId="0" applyFont="1" applyFill="1" applyBorder="1"/>
    <xf numFmtId="0" fontId="10" fillId="12" borderId="0" xfId="0" applyFont="1" applyFill="1"/>
    <xf numFmtId="167" fontId="10" fillId="12" borderId="0" xfId="0" applyNumberFormat="1" applyFont="1" applyFill="1"/>
    <xf numFmtId="167" fontId="18" fillId="12" borderId="14" xfId="0" applyNumberFormat="1" applyFont="1" applyFill="1" applyBorder="1"/>
    <xf numFmtId="167" fontId="10" fillId="12" borderId="4" xfId="0" applyNumberFormat="1" applyFont="1" applyFill="1" applyBorder="1"/>
    <xf numFmtId="167" fontId="10" fillId="12" borderId="14" xfId="0" applyNumberFormat="1" applyFont="1" applyFill="1" applyBorder="1"/>
    <xf numFmtId="167" fontId="6" fillId="12" borderId="15" xfId="0" applyNumberFormat="1" applyFont="1" applyFill="1" applyBorder="1"/>
    <xf numFmtId="167" fontId="6" fillId="12" borderId="14" xfId="0" applyNumberFormat="1" applyFont="1" applyFill="1" applyBorder="1"/>
    <xf numFmtId="0" fontId="18" fillId="12" borderId="14" xfId="0" applyFont="1" applyFill="1" applyBorder="1"/>
    <xf numFmtId="167" fontId="17" fillId="12" borderId="14" xfId="0" applyNumberFormat="1" applyFont="1" applyFill="1" applyBorder="1"/>
    <xf numFmtId="0" fontId="18" fillId="12" borderId="13" xfId="0" applyFont="1" applyFill="1" applyBorder="1" applyAlignment="1">
      <alignment horizontal="center"/>
    </xf>
    <xf numFmtId="0" fontId="18" fillId="12" borderId="0" xfId="0" applyFont="1" applyFill="1" applyAlignment="1">
      <alignment horizontal="center"/>
    </xf>
    <xf numFmtId="167" fontId="15" fillId="12" borderId="15" xfId="0" applyNumberFormat="1" applyFont="1" applyFill="1" applyBorder="1" applyAlignment="1">
      <alignment horizontal="center"/>
    </xf>
    <xf numFmtId="0" fontId="18" fillId="12" borderId="16" xfId="0" applyFont="1" applyFill="1" applyBorder="1" applyAlignment="1">
      <alignment horizontal="center"/>
    </xf>
    <xf numFmtId="0" fontId="18" fillId="12" borderId="17" xfId="0" applyFont="1" applyFill="1" applyBorder="1" applyAlignment="1">
      <alignment horizontal="center"/>
    </xf>
    <xf numFmtId="0" fontId="18" fillId="12" borderId="18" xfId="0" applyFont="1" applyFill="1" applyBorder="1" applyAlignment="1">
      <alignment horizontal="center"/>
    </xf>
    <xf numFmtId="0" fontId="11" fillId="0" borderId="0" xfId="0" applyFont="1" applyAlignment="1">
      <alignment horizontal="center"/>
    </xf>
    <xf numFmtId="0" fontId="16" fillId="0" borderId="7" xfId="0" applyFont="1" applyBorder="1" applyAlignment="1">
      <alignment horizontal="center"/>
    </xf>
    <xf numFmtId="0" fontId="55" fillId="0" borderId="0" xfId="0" applyFont="1" applyAlignment="1">
      <alignment horizontal="center"/>
    </xf>
    <xf numFmtId="0" fontId="44" fillId="0" borderId="0" xfId="0" applyFont="1" applyAlignment="1">
      <alignment horizontal="center"/>
    </xf>
    <xf numFmtId="0" fontId="52" fillId="0" borderId="0" xfId="0" applyFont="1" applyAlignment="1">
      <alignment horizontal="center" wrapText="1"/>
    </xf>
    <xf numFmtId="0" fontId="11" fillId="0" borderId="7" xfId="0" applyFont="1" applyBorder="1" applyAlignment="1">
      <alignment horizontal="center"/>
    </xf>
    <xf numFmtId="0" fontId="21" fillId="0" borderId="5" xfId="0" applyFont="1" applyBorder="1" applyAlignment="1">
      <alignment horizontal="center"/>
    </xf>
    <xf numFmtId="167" fontId="44" fillId="0" borderId="5" xfId="0" applyNumberFormat="1" applyFont="1" applyBorder="1" applyAlignment="1">
      <alignment horizontal="center"/>
    </xf>
    <xf numFmtId="167" fontId="11" fillId="0" borderId="0" xfId="0" applyNumberFormat="1" applyFont="1" applyAlignment="1">
      <alignment horizontal="center"/>
    </xf>
    <xf numFmtId="168" fontId="16" fillId="0" borderId="5" xfId="0" applyNumberFormat="1" applyFont="1" applyBorder="1"/>
    <xf numFmtId="0" fontId="11" fillId="2" borderId="0" xfId="0" applyFont="1" applyFill="1" applyAlignment="1">
      <alignment horizontal="left"/>
    </xf>
    <xf numFmtId="167" fontId="44" fillId="0" borderId="5" xfId="0" applyNumberFormat="1" applyFont="1" applyBorder="1" applyAlignment="1">
      <alignment horizontal="left"/>
    </xf>
    <xf numFmtId="167" fontId="16" fillId="0" borderId="5" xfId="0" applyNumberFormat="1" applyFont="1" applyBorder="1" applyAlignment="1">
      <alignment horizontal="left"/>
    </xf>
    <xf numFmtId="167" fontId="11" fillId="2" borderId="0" xfId="0" applyNumberFormat="1" applyFont="1" applyFill="1" applyAlignment="1">
      <alignment horizontal="left"/>
    </xf>
    <xf numFmtId="167" fontId="15" fillId="12" borderId="0" xfId="0" applyNumberFormat="1" applyFont="1" applyFill="1"/>
    <xf numFmtId="167" fontId="44" fillId="0" borderId="5" xfId="0" applyNumberFormat="1" applyFont="1" applyBorder="1"/>
    <xf numFmtId="167" fontId="16" fillId="0" borderId="5" xfId="0" applyNumberFormat="1" applyFont="1" applyBorder="1"/>
    <xf numFmtId="167" fontId="13" fillId="0" borderId="0" xfId="0" applyNumberFormat="1" applyFont="1"/>
    <xf numFmtId="4" fontId="18" fillId="12" borderId="0" xfId="0" applyNumberFormat="1" applyFont="1" applyFill="1"/>
    <xf numFmtId="0" fontId="17" fillId="12" borderId="0" xfId="0" applyFont="1" applyFill="1"/>
    <xf numFmtId="168" fontId="18" fillId="0" borderId="6" xfId="0" applyNumberFormat="1" applyFont="1" applyBorder="1" applyAlignment="1">
      <alignment horizontal="right"/>
    </xf>
    <xf numFmtId="168" fontId="21" fillId="0" borderId="6" xfId="0" applyNumberFormat="1" applyFont="1" applyBorder="1" applyAlignment="1">
      <alignment horizontal="right"/>
    </xf>
    <xf numFmtId="168" fontId="21" fillId="0" borderId="5" xfId="0" applyNumberFormat="1" applyFont="1" applyBorder="1" applyAlignment="1">
      <alignment horizontal="right"/>
    </xf>
    <xf numFmtId="167" fontId="17" fillId="0" borderId="5" xfId="0" applyNumberFormat="1" applyFont="1" applyBorder="1" applyAlignment="1">
      <alignment horizontal="right"/>
    </xf>
    <xf numFmtId="0" fontId="17" fillId="0" borderId="0" xfId="0" applyFont="1" applyAlignment="1">
      <alignment horizontal="left"/>
    </xf>
    <xf numFmtId="167" fontId="11" fillId="0" borderId="0" xfId="0" applyNumberFormat="1" applyFont="1" applyAlignment="1">
      <alignment horizontal="left"/>
    </xf>
    <xf numFmtId="168" fontId="19" fillId="0" borderId="5" xfId="0" applyNumberFormat="1" applyFont="1" applyBorder="1" applyAlignment="1">
      <alignment horizontal="right"/>
    </xf>
    <xf numFmtId="0" fontId="15" fillId="0" borderId="0" xfId="0" applyFont="1" applyAlignment="1">
      <alignment horizontal="center"/>
    </xf>
    <xf numFmtId="167" fontId="18" fillId="0" borderId="5" xfId="0" applyNumberFormat="1" applyFont="1" applyBorder="1"/>
    <xf numFmtId="168" fontId="23" fillId="0" borderId="5" xfId="0" applyNumberFormat="1" applyFont="1" applyBorder="1"/>
    <xf numFmtId="167" fontId="21" fillId="0" borderId="5" xfId="0" applyNumberFormat="1" applyFont="1" applyBorder="1" applyAlignment="1">
      <alignment horizontal="center"/>
    </xf>
    <xf numFmtId="167" fontId="17" fillId="0" borderId="0" xfId="0" applyNumberFormat="1" applyFont="1" applyAlignment="1">
      <alignment horizontal="left"/>
    </xf>
    <xf numFmtId="0" fontId="18" fillId="0" borderId="12" xfId="0" applyFont="1" applyBorder="1" applyAlignment="1">
      <alignment horizontal="left"/>
    </xf>
    <xf numFmtId="168" fontId="15" fillId="0" borderId="0" xfId="0" applyNumberFormat="1" applyFont="1"/>
    <xf numFmtId="0" fontId="25" fillId="0" borderId="0" xfId="0" applyFont="1" applyAlignment="1">
      <alignment horizontal="center"/>
    </xf>
    <xf numFmtId="0" fontId="52" fillId="0" borderId="0" xfId="0" applyFont="1" applyAlignment="1">
      <alignment horizontal="center"/>
    </xf>
    <xf numFmtId="0" fontId="17" fillId="0" borderId="0" xfId="0" applyFont="1" applyAlignment="1">
      <alignment horizontal="right"/>
    </xf>
    <xf numFmtId="0" fontId="15" fillId="0" borderId="0" xfId="0" applyFont="1" applyAlignment="1">
      <alignment horizontal="center" wrapText="1"/>
    </xf>
    <xf numFmtId="0" fontId="45" fillId="0" borderId="0" xfId="0" applyFont="1"/>
    <xf numFmtId="0" fontId="45" fillId="0" borderId="0" xfId="0" applyFont="1" applyAlignment="1">
      <alignment horizontal="center"/>
    </xf>
    <xf numFmtId="0" fontId="46" fillId="0" borderId="0" xfId="0" applyFont="1"/>
    <xf numFmtId="0" fontId="53" fillId="0" borderId="0" xfId="0" applyFont="1" applyAlignment="1">
      <alignment horizontal="center"/>
    </xf>
    <xf numFmtId="168" fontId="3" fillId="0" borderId="0" xfId="0" applyNumberFormat="1" applyFont="1"/>
    <xf numFmtId="2" fontId="15" fillId="0" borderId="0" xfId="0" applyNumberFormat="1" applyFont="1" applyAlignment="1">
      <alignment horizontal="center"/>
    </xf>
    <xf numFmtId="0" fontId="15" fillId="0" borderId="0" xfId="0" applyFont="1" applyAlignment="1">
      <alignment horizontal="left"/>
    </xf>
    <xf numFmtId="0" fontId="54" fillId="0" borderId="0" xfId="0" applyFont="1"/>
    <xf numFmtId="0" fontId="2" fillId="0" borderId="0" xfId="0" applyFont="1" applyAlignment="1">
      <alignment horizontal="left"/>
    </xf>
    <xf numFmtId="0" fontId="18" fillId="0" borderId="12" xfId="0" applyFont="1" applyBorder="1"/>
    <xf numFmtId="0" fontId="50" fillId="0" borderId="0" xfId="0" applyFont="1" applyAlignment="1">
      <alignment horizontal="center"/>
    </xf>
    <xf numFmtId="1" fontId="18" fillId="0" borderId="12" xfId="0" applyNumberFormat="1" applyFont="1" applyBorder="1"/>
    <xf numFmtId="1" fontId="15" fillId="0" borderId="19" xfId="0" applyNumberFormat="1" applyFont="1" applyBorder="1"/>
    <xf numFmtId="168" fontId="18" fillId="0" borderId="0" xfId="0" applyNumberFormat="1" applyFont="1" applyAlignment="1">
      <alignment horizontal="center"/>
    </xf>
    <xf numFmtId="0" fontId="0" fillId="11" borderId="0" xfId="0" applyFill="1"/>
    <xf numFmtId="167" fontId="0" fillId="0" borderId="0" xfId="1" applyNumberFormat="1" applyFont="1"/>
    <xf numFmtId="0" fontId="0" fillId="0" borderId="5" xfId="0" applyBorder="1"/>
    <xf numFmtId="0" fontId="0" fillId="0" borderId="0" xfId="0" applyAlignment="1">
      <alignment wrapText="1"/>
    </xf>
    <xf numFmtId="0" fontId="58" fillId="0" borderId="9" xfId="0" applyFont="1" applyBorder="1" applyAlignment="1">
      <alignment horizontal="left"/>
    </xf>
    <xf numFmtId="0" fontId="61" fillId="0" borderId="10" xfId="0" applyFont="1" applyBorder="1"/>
    <xf numFmtId="0" fontId="62" fillId="0" borderId="10" xfId="0" applyFont="1" applyBorder="1"/>
    <xf numFmtId="14" fontId="62" fillId="0" borderId="11" xfId="0" applyNumberFormat="1" applyFont="1" applyBorder="1"/>
    <xf numFmtId="0" fontId="63" fillId="0" borderId="13" xfId="0" applyFont="1" applyBorder="1"/>
    <xf numFmtId="0" fontId="63" fillId="0" borderId="0" xfId="0" applyFont="1"/>
    <xf numFmtId="167" fontId="64" fillId="0" borderId="14" xfId="0" applyNumberFormat="1" applyFont="1" applyBorder="1"/>
    <xf numFmtId="0" fontId="65" fillId="0" borderId="13" xfId="0" applyFont="1" applyBorder="1" applyAlignment="1">
      <alignment horizontal="left"/>
    </xf>
    <xf numFmtId="0" fontId="62" fillId="0" borderId="0" xfId="0" applyFont="1"/>
    <xf numFmtId="14" fontId="63" fillId="0" borderId="0" xfId="0" applyNumberFormat="1" applyFont="1"/>
    <xf numFmtId="0" fontId="63" fillId="0" borderId="14" xfId="0" applyFont="1" applyBorder="1" applyAlignment="1">
      <alignment horizontal="center"/>
    </xf>
    <xf numFmtId="0" fontId="63" fillId="0" borderId="13" xfId="0" applyFont="1" applyBorder="1" applyAlignment="1">
      <alignment horizontal="left"/>
    </xf>
    <xf numFmtId="167" fontId="63" fillId="0" borderId="0" xfId="0" applyNumberFormat="1" applyFont="1"/>
    <xf numFmtId="167" fontId="64" fillId="0" borderId="0" xfId="0" applyNumberFormat="1" applyFont="1"/>
    <xf numFmtId="167" fontId="63" fillId="0" borderId="14" xfId="0" applyNumberFormat="1" applyFont="1" applyBorder="1" applyAlignment="1">
      <alignment horizontal="center"/>
    </xf>
    <xf numFmtId="0" fontId="62" fillId="0" borderId="13" xfId="0" applyFont="1" applyBorder="1"/>
    <xf numFmtId="0" fontId="62" fillId="0" borderId="14" xfId="0" applyFont="1" applyBorder="1"/>
    <xf numFmtId="167" fontId="64" fillId="0" borderId="4" xfId="0" applyNumberFormat="1" applyFont="1" applyBorder="1"/>
    <xf numFmtId="167" fontId="32" fillId="0" borderId="14" xfId="0" applyNumberFormat="1" applyFont="1" applyBorder="1"/>
    <xf numFmtId="167" fontId="62" fillId="0" borderId="0" xfId="0" applyNumberFormat="1" applyFont="1"/>
    <xf numFmtId="167" fontId="62" fillId="0" borderId="14" xfId="0" applyNumberFormat="1" applyFont="1" applyBorder="1"/>
    <xf numFmtId="167" fontId="66" fillId="0" borderId="15" xfId="0" applyNumberFormat="1" applyFont="1" applyBorder="1"/>
    <xf numFmtId="167" fontId="63" fillId="0" borderId="14" xfId="0" applyNumberFormat="1" applyFont="1" applyBorder="1"/>
    <xf numFmtId="0" fontId="63" fillId="0" borderId="16" xfId="0" applyFont="1" applyBorder="1" applyAlignment="1">
      <alignment horizontal="center"/>
    </xf>
    <xf numFmtId="0" fontId="63" fillId="0" borderId="17" xfId="0" applyFont="1" applyBorder="1" applyAlignment="1">
      <alignment horizontal="center"/>
    </xf>
    <xf numFmtId="167" fontId="32" fillId="0" borderId="28" xfId="0" applyNumberFormat="1" applyFont="1" applyBorder="1" applyAlignment="1">
      <alignment horizontal="center"/>
    </xf>
    <xf numFmtId="0" fontId="67" fillId="0" borderId="5" xfId="0" applyFont="1" applyBorder="1" applyAlignment="1">
      <alignment horizontal="center" wrapText="1"/>
    </xf>
    <xf numFmtId="0" fontId="68" fillId="0" borderId="5" xfId="0" applyFont="1" applyBorder="1" applyAlignment="1">
      <alignment horizontal="center" wrapText="1"/>
    </xf>
    <xf numFmtId="14" fontId="69" fillId="0" borderId="5" xfId="2" applyNumberFormat="1" applyFont="1" applyFill="1" applyBorder="1" applyAlignment="1">
      <alignment horizontal="center" wrapText="1"/>
    </xf>
    <xf numFmtId="9" fontId="69" fillId="0" borderId="5" xfId="2" applyFont="1" applyFill="1" applyBorder="1" applyAlignment="1">
      <alignment horizontal="center" wrapText="1"/>
    </xf>
    <xf numFmtId="0" fontId="64" fillId="0" borderId="5" xfId="0" applyFont="1" applyBorder="1" applyAlignment="1">
      <alignment horizontal="center" wrapText="1"/>
    </xf>
    <xf numFmtId="14" fontId="69" fillId="0" borderId="5" xfId="0" applyNumberFormat="1" applyFont="1" applyBorder="1" applyAlignment="1">
      <alignment horizontal="center" wrapText="1"/>
    </xf>
    <xf numFmtId="0" fontId="69" fillId="0" borderId="5" xfId="0" applyFont="1" applyBorder="1" applyAlignment="1">
      <alignment horizontal="center" wrapText="1"/>
    </xf>
    <xf numFmtId="167" fontId="64" fillId="0" borderId="5" xfId="0" applyNumberFormat="1" applyFont="1" applyBorder="1" applyAlignment="1">
      <alignment horizontal="center"/>
    </xf>
    <xf numFmtId="9" fontId="64" fillId="0" borderId="5" xfId="2" applyFont="1" applyFill="1" applyBorder="1" applyAlignment="1">
      <alignment horizontal="center"/>
    </xf>
    <xf numFmtId="9" fontId="68" fillId="0" borderId="5" xfId="2" applyFont="1" applyFill="1" applyBorder="1" applyAlignment="1">
      <alignment horizontal="center"/>
    </xf>
    <xf numFmtId="167" fontId="64" fillId="0" borderId="5" xfId="0" applyNumberFormat="1" applyFont="1" applyBorder="1" applyAlignment="1">
      <alignment horizontal="left"/>
    </xf>
    <xf numFmtId="0" fontId="71" fillId="0" borderId="5" xfId="0" applyFont="1" applyBorder="1"/>
    <xf numFmtId="9" fontId="68" fillId="0" borderId="5" xfId="2" applyFont="1" applyBorder="1" applyAlignment="1">
      <alignment horizontal="center"/>
    </xf>
    <xf numFmtId="167" fontId="68" fillId="0" borderId="5" xfId="0" applyNumberFormat="1" applyFont="1" applyBorder="1" applyAlignment="1">
      <alignment horizontal="left"/>
    </xf>
    <xf numFmtId="167" fontId="69" fillId="0" borderId="5" xfId="2" applyNumberFormat="1" applyFont="1" applyFill="1" applyBorder="1" applyAlignment="1">
      <alignment horizontal="center"/>
    </xf>
    <xf numFmtId="9" fontId="69" fillId="0" borderId="5" xfId="2" applyFont="1" applyFill="1" applyBorder="1" applyAlignment="1">
      <alignment horizontal="center"/>
    </xf>
    <xf numFmtId="167" fontId="64" fillId="0" borderId="5" xfId="2" applyNumberFormat="1" applyFont="1" applyFill="1" applyBorder="1" applyAlignment="1">
      <alignment horizontal="center"/>
    </xf>
    <xf numFmtId="167" fontId="64" fillId="0" borderId="5" xfId="2" applyNumberFormat="1" applyFont="1" applyFill="1" applyBorder="1" applyAlignment="1">
      <alignment horizontal="center" wrapText="1"/>
    </xf>
    <xf numFmtId="167" fontId="64" fillId="0" borderId="5" xfId="2" applyNumberFormat="1" applyFont="1" applyFill="1" applyBorder="1" applyAlignment="1">
      <alignment horizontal="left" wrapText="1"/>
    </xf>
    <xf numFmtId="167" fontId="68" fillId="0" borderId="5" xfId="0" applyNumberFormat="1" applyFont="1" applyBorder="1" applyAlignment="1">
      <alignment horizontal="center"/>
    </xf>
    <xf numFmtId="167" fontId="72" fillId="0" borderId="5" xfId="2" applyNumberFormat="1" applyFont="1" applyFill="1" applyBorder="1" applyAlignment="1">
      <alignment horizontal="center" wrapText="1"/>
    </xf>
    <xf numFmtId="167" fontId="73" fillId="0" borderId="5" xfId="2" applyNumberFormat="1" applyFont="1" applyFill="1" applyBorder="1" applyAlignment="1">
      <alignment horizontal="center"/>
    </xf>
    <xf numFmtId="167" fontId="73" fillId="0" borderId="5" xfId="2" applyNumberFormat="1" applyFont="1" applyFill="1" applyBorder="1" applyAlignment="1">
      <alignment horizontal="left" wrapText="1"/>
    </xf>
    <xf numFmtId="10" fontId="73" fillId="0" borderId="5" xfId="2" applyNumberFormat="1" applyFont="1" applyFill="1" applyBorder="1" applyAlignment="1">
      <alignment horizontal="left" wrapText="1"/>
    </xf>
    <xf numFmtId="167" fontId="69" fillId="0" borderId="5" xfId="2" applyNumberFormat="1" applyFont="1" applyFill="1" applyBorder="1" applyAlignment="1">
      <alignment horizontal="center" wrapText="1"/>
    </xf>
    <xf numFmtId="167" fontId="64" fillId="0" borderId="5" xfId="0" applyNumberFormat="1" applyFont="1" applyBorder="1"/>
    <xf numFmtId="167" fontId="68" fillId="0" borderId="5" xfId="0" applyNumberFormat="1" applyFont="1" applyBorder="1"/>
    <xf numFmtId="167" fontId="72" fillId="0" borderId="5" xfId="2" applyNumberFormat="1" applyFont="1" applyFill="1" applyBorder="1" applyAlignment="1">
      <alignment horizontal="left" wrapText="1"/>
    </xf>
    <xf numFmtId="0" fontId="62" fillId="0" borderId="5" xfId="0" applyFont="1" applyBorder="1"/>
    <xf numFmtId="167" fontId="74" fillId="0" borderId="5" xfId="2" applyNumberFormat="1" applyFont="1" applyFill="1" applyBorder="1" applyAlignment="1">
      <alignment horizontal="center"/>
    </xf>
    <xf numFmtId="167" fontId="75" fillId="0" borderId="5" xfId="2" applyNumberFormat="1" applyFont="1" applyFill="1" applyBorder="1" applyAlignment="1">
      <alignment horizontal="center"/>
    </xf>
    <xf numFmtId="167" fontId="68" fillId="0" borderId="5" xfId="2" applyNumberFormat="1" applyFont="1" applyFill="1" applyBorder="1" applyAlignment="1">
      <alignment horizontal="center"/>
    </xf>
    <xf numFmtId="167" fontId="67" fillId="0" borderId="5" xfId="2" applyNumberFormat="1" applyFont="1" applyFill="1" applyBorder="1" applyAlignment="1">
      <alignment horizontal="center"/>
    </xf>
    <xf numFmtId="167" fontId="70" fillId="0" borderId="5" xfId="2" applyNumberFormat="1" applyFont="1" applyFill="1" applyBorder="1" applyAlignment="1">
      <alignment horizontal="center"/>
    </xf>
    <xf numFmtId="167" fontId="67" fillId="0" borderId="5" xfId="0" applyNumberFormat="1" applyFont="1" applyBorder="1" applyAlignment="1">
      <alignment horizontal="center"/>
    </xf>
    <xf numFmtId="167" fontId="64" fillId="0" borderId="5" xfId="0" applyNumberFormat="1" applyFont="1" applyBorder="1" applyAlignment="1">
      <alignment horizontal="center" wrapText="1"/>
    </xf>
    <xf numFmtId="167" fontId="70" fillId="0" borderId="5" xfId="0" applyNumberFormat="1" applyFont="1" applyBorder="1" applyAlignment="1">
      <alignment horizontal="center"/>
    </xf>
    <xf numFmtId="167" fontId="64" fillId="0" borderId="5" xfId="1" applyNumberFormat="1" applyFont="1" applyBorder="1"/>
    <xf numFmtId="167" fontId="71" fillId="0" borderId="5" xfId="0" applyNumberFormat="1" applyFont="1" applyBorder="1"/>
    <xf numFmtId="167" fontId="62" fillId="0" borderId="5" xfId="0" applyNumberFormat="1" applyFont="1" applyBorder="1"/>
    <xf numFmtId="167" fontId="67" fillId="0" borderId="5" xfId="1" applyNumberFormat="1" applyFont="1" applyBorder="1" applyAlignment="1">
      <alignment horizontal="center"/>
    </xf>
    <xf numFmtId="0" fontId="77" fillId="0" borderId="0" xfId="0" applyFont="1"/>
    <xf numFmtId="0" fontId="14" fillId="0" borderId="0" xfId="0" applyFont="1"/>
    <xf numFmtId="166" fontId="30" fillId="9" borderId="0" xfId="3" applyNumberFormat="1" applyFont="1" applyFill="1" applyBorder="1" applyAlignment="1">
      <alignment horizontal="center"/>
    </xf>
    <xf numFmtId="0" fontId="81" fillId="10" borderId="0" xfId="0" applyFont="1" applyFill="1" applyAlignment="1">
      <alignment horizontal="center"/>
    </xf>
    <xf numFmtId="166" fontId="30" fillId="10" borderId="0" xfId="3" applyNumberFormat="1" applyFont="1" applyFill="1" applyBorder="1" applyAlignment="1">
      <alignment horizontal="center"/>
    </xf>
    <xf numFmtId="0" fontId="81" fillId="9" borderId="0" xfId="0" applyFont="1" applyFill="1"/>
    <xf numFmtId="0" fontId="81" fillId="10" borderId="0" xfId="0" applyFont="1" applyFill="1"/>
    <xf numFmtId="0" fontId="30" fillId="9" borderId="0" xfId="3" applyFont="1" applyFill="1" applyBorder="1" applyAlignment="1">
      <alignment horizontal="center"/>
    </xf>
    <xf numFmtId="166" fontId="82" fillId="10" borderId="0" xfId="3" applyNumberFormat="1" applyFont="1" applyFill="1" applyBorder="1" applyAlignment="1">
      <alignment horizontal="center"/>
    </xf>
    <xf numFmtId="0" fontId="83" fillId="9" borderId="0" xfId="0" applyFont="1" applyFill="1" applyAlignment="1">
      <alignment horizontal="right"/>
    </xf>
    <xf numFmtId="0" fontId="83" fillId="10" borderId="0" xfId="0" applyFont="1" applyFill="1" applyAlignment="1">
      <alignment horizontal="right"/>
    </xf>
    <xf numFmtId="166" fontId="84" fillId="10" borderId="0" xfId="3" applyNumberFormat="1" applyFont="1" applyFill="1" applyBorder="1" applyAlignment="1">
      <alignment horizontal="right"/>
    </xf>
    <xf numFmtId="166" fontId="4" fillId="9" borderId="0" xfId="3" applyNumberFormat="1" applyFill="1" applyBorder="1" applyAlignment="1">
      <alignment horizontal="right"/>
    </xf>
    <xf numFmtId="166" fontId="4" fillId="10" borderId="0" xfId="3" applyNumberFormat="1" applyFill="1" applyBorder="1" applyAlignment="1">
      <alignment horizontal="right"/>
    </xf>
    <xf numFmtId="167" fontId="83" fillId="9" borderId="0" xfId="0" applyNumberFormat="1" applyFont="1" applyFill="1" applyAlignment="1">
      <alignment horizontal="right"/>
    </xf>
    <xf numFmtId="0" fontId="83" fillId="9" borderId="0" xfId="0" applyFont="1" applyFill="1"/>
    <xf numFmtId="0" fontId="83" fillId="10" borderId="0" xfId="0" applyFont="1" applyFill="1"/>
    <xf numFmtId="0" fontId="4" fillId="9" borderId="0" xfId="3" applyFill="1" applyBorder="1" applyAlignment="1">
      <alignment horizontal="right"/>
    </xf>
    <xf numFmtId="166" fontId="82" fillId="9" borderId="1" xfId="3" applyNumberFormat="1" applyFont="1" applyFill="1" applyBorder="1" applyAlignment="1">
      <alignment horizontal="right"/>
    </xf>
    <xf numFmtId="166" fontId="82" fillId="10" borderId="1" xfId="3" applyNumberFormat="1" applyFont="1" applyFill="1" applyBorder="1" applyAlignment="1">
      <alignment horizontal="right"/>
    </xf>
    <xf numFmtId="166" fontId="30" fillId="9" borderId="1" xfId="3" applyNumberFormat="1" applyFont="1" applyFill="1" applyBorder="1" applyAlignment="1">
      <alignment horizontal="right"/>
    </xf>
    <xf numFmtId="166" fontId="30" fillId="10" borderId="1" xfId="3" applyNumberFormat="1" applyFont="1" applyFill="1" applyBorder="1" applyAlignment="1">
      <alignment horizontal="right"/>
    </xf>
    <xf numFmtId="166" fontId="81" fillId="9" borderId="0" xfId="0" applyNumberFormat="1" applyFont="1" applyFill="1"/>
    <xf numFmtId="166" fontId="81" fillId="10" borderId="0" xfId="0" applyNumberFormat="1" applyFont="1" applyFill="1"/>
    <xf numFmtId="0" fontId="83" fillId="0" borderId="0" xfId="0" applyFont="1"/>
    <xf numFmtId="0" fontId="83" fillId="4" borderId="0" xfId="0" applyFont="1" applyFill="1"/>
    <xf numFmtId="0" fontId="40" fillId="10" borderId="0" xfId="0" applyFont="1" applyFill="1"/>
    <xf numFmtId="0" fontId="40" fillId="4" borderId="0" xfId="0" applyFont="1" applyFill="1"/>
    <xf numFmtId="0" fontId="32" fillId="0" borderId="5" xfId="0" applyFont="1" applyBorder="1" applyAlignment="1">
      <alignment horizontal="center"/>
    </xf>
    <xf numFmtId="0" fontId="63" fillId="0" borderId="0" xfId="0" applyFont="1" applyAlignment="1">
      <alignment horizontal="center"/>
    </xf>
    <xf numFmtId="0" fontId="68" fillId="0" borderId="0" xfId="0" applyFont="1" applyAlignment="1">
      <alignment horizontal="center" wrapText="1"/>
    </xf>
    <xf numFmtId="0" fontId="67" fillId="0" borderId="0" xfId="0" applyFont="1" applyAlignment="1">
      <alignment horizontal="center" wrapText="1"/>
    </xf>
    <xf numFmtId="0" fontId="67" fillId="0" borderId="0" xfId="0" applyFont="1" applyAlignment="1">
      <alignment horizontal="left" wrapText="1"/>
    </xf>
    <xf numFmtId="9" fontId="68" fillId="0" borderId="0" xfId="2" applyFont="1" applyAlignment="1">
      <alignment horizontal="center"/>
    </xf>
    <xf numFmtId="0" fontId="63" fillId="0" borderId="5" xfId="0" applyFont="1" applyBorder="1" applyAlignment="1">
      <alignment horizontal="center"/>
    </xf>
    <xf numFmtId="167" fontId="67" fillId="0" borderId="0" xfId="0" applyNumberFormat="1" applyFont="1" applyAlignment="1">
      <alignment horizontal="center"/>
    </xf>
    <xf numFmtId="0" fontId="63" fillId="0" borderId="5" xfId="0" applyFont="1" applyBorder="1" applyAlignment="1">
      <alignment horizontal="left"/>
    </xf>
    <xf numFmtId="167" fontId="80" fillId="0" borderId="0" xfId="0" applyNumberFormat="1" applyFont="1"/>
    <xf numFmtId="167" fontId="63" fillId="0" borderId="0" xfId="0" applyNumberFormat="1" applyFont="1" applyAlignment="1">
      <alignment horizontal="center"/>
    </xf>
    <xf numFmtId="167" fontId="64" fillId="0" borderId="8" xfId="1" applyNumberFormat="1" applyFont="1" applyBorder="1"/>
    <xf numFmtId="0" fontId="67" fillId="0" borderId="7" xfId="1" applyNumberFormat="1" applyFont="1" applyBorder="1" applyAlignment="1">
      <alignment horizontal="center" wrapText="1"/>
    </xf>
    <xf numFmtId="167" fontId="66" fillId="0" borderId="14" xfId="0" applyNumberFormat="1" applyFont="1" applyBorder="1"/>
    <xf numFmtId="167" fontId="67" fillId="0" borderId="0" xfId="1" applyNumberFormat="1" applyFont="1" applyAlignment="1">
      <alignment horizontal="center" wrapText="1"/>
    </xf>
    <xf numFmtId="0" fontId="86" fillId="7" borderId="0" xfId="0" applyFont="1" applyFill="1"/>
    <xf numFmtId="4" fontId="87" fillId="7" borderId="0" xfId="3" applyNumberFormat="1" applyFont="1" applyFill="1" applyBorder="1" applyAlignment="1">
      <alignment horizontal="center"/>
    </xf>
    <xf numFmtId="14" fontId="70" fillId="4" borderId="5" xfId="0" applyNumberFormat="1" applyFont="1" applyFill="1" applyBorder="1" applyAlignment="1">
      <alignment horizontal="center" wrapText="1"/>
    </xf>
    <xf numFmtId="0" fontId="71" fillId="4" borderId="5" xfId="0" applyFont="1" applyFill="1" applyBorder="1"/>
    <xf numFmtId="0" fontId="62" fillId="4" borderId="5" xfId="0" applyFont="1" applyFill="1" applyBorder="1"/>
    <xf numFmtId="167" fontId="70" fillId="4" borderId="5" xfId="2" applyNumberFormat="1" applyFont="1" applyFill="1" applyBorder="1" applyAlignment="1">
      <alignment horizontal="center"/>
    </xf>
    <xf numFmtId="167" fontId="70" fillId="4" borderId="5" xfId="0" applyNumberFormat="1" applyFont="1" applyFill="1" applyBorder="1" applyAlignment="1">
      <alignment horizontal="center"/>
    </xf>
    <xf numFmtId="0" fontId="88" fillId="0" borderId="0" xfId="0" applyFont="1"/>
    <xf numFmtId="0" fontId="89" fillId="0" borderId="0" xfId="0" applyFont="1" applyAlignment="1">
      <alignment horizontal="center"/>
    </xf>
    <xf numFmtId="0" fontId="42" fillId="0" borderId="0" xfId="0" applyFont="1" applyAlignment="1">
      <alignment wrapText="1"/>
    </xf>
    <xf numFmtId="167" fontId="68" fillId="0" borderId="0" xfId="1" applyNumberFormat="1" applyFont="1" applyAlignment="1">
      <alignment horizontal="center" wrapText="1"/>
    </xf>
    <xf numFmtId="167" fontId="69" fillId="0" borderId="8" xfId="1" applyNumberFormat="1" applyFont="1" applyBorder="1"/>
    <xf numFmtId="167" fontId="69" fillId="0" borderId="5" xfId="1" applyNumberFormat="1" applyFont="1" applyBorder="1"/>
    <xf numFmtId="167" fontId="68" fillId="0" borderId="5" xfId="1" applyNumberFormat="1" applyFont="1" applyBorder="1" applyAlignment="1">
      <alignment horizontal="center"/>
    </xf>
    <xf numFmtId="0" fontId="90" fillId="0" borderId="0" xfId="0" applyFont="1"/>
    <xf numFmtId="167" fontId="67" fillId="0" borderId="0" xfId="0" applyNumberFormat="1" applyFont="1" applyAlignment="1">
      <alignment horizontal="center" wrapText="1"/>
    </xf>
    <xf numFmtId="167" fontId="76" fillId="0" borderId="5" xfId="0" applyNumberFormat="1" applyFont="1" applyBorder="1"/>
    <xf numFmtId="167" fontId="80" fillId="0" borderId="5" xfId="0" applyNumberFormat="1" applyFont="1" applyBorder="1"/>
    <xf numFmtId="167" fontId="76" fillId="0" borderId="8" xfId="0" applyNumberFormat="1" applyFont="1" applyBorder="1" applyAlignment="1">
      <alignment wrapText="1"/>
    </xf>
    <xf numFmtId="167" fontId="67" fillId="0" borderId="7" xfId="0" applyNumberFormat="1" applyFont="1" applyBorder="1" applyAlignment="1">
      <alignment horizontal="center"/>
    </xf>
    <xf numFmtId="167" fontId="76" fillId="0" borderId="8" xfId="0" applyNumberFormat="1" applyFont="1" applyBorder="1"/>
    <xf numFmtId="14" fontId="68" fillId="0" borderId="2" xfId="1" applyNumberFormat="1" applyFont="1" applyBorder="1" applyAlignment="1">
      <alignment horizontal="center" wrapText="1"/>
    </xf>
    <xf numFmtId="167" fontId="69" fillId="0" borderId="29" xfId="1" applyNumberFormat="1" applyFont="1" applyBorder="1"/>
    <xf numFmtId="0" fontId="71" fillId="0" borderId="8" xfId="0" applyFont="1" applyBorder="1"/>
    <xf numFmtId="0" fontId="70" fillId="0" borderId="7" xfId="0" applyFont="1" applyBorder="1" applyAlignment="1">
      <alignment horizontal="center" wrapText="1"/>
    </xf>
    <xf numFmtId="167" fontId="77" fillId="0" borderId="0" xfId="0" applyNumberFormat="1" applyFont="1"/>
    <xf numFmtId="0" fontId="91" fillId="0" borderId="0" xfId="0" applyFont="1" applyAlignment="1">
      <alignment horizontal="center"/>
    </xf>
    <xf numFmtId="167" fontId="70" fillId="0" borderId="7" xfId="0" applyNumberFormat="1" applyFont="1" applyBorder="1" applyAlignment="1">
      <alignment horizontal="center" wrapText="1"/>
    </xf>
    <xf numFmtId="167" fontId="71" fillId="0" borderId="8" xfId="0" applyNumberFormat="1" applyFont="1" applyBorder="1"/>
    <xf numFmtId="167" fontId="70" fillId="0" borderId="8" xfId="2" applyNumberFormat="1" applyFont="1" applyFill="1" applyBorder="1" applyAlignment="1">
      <alignment horizontal="center"/>
    </xf>
    <xf numFmtId="167" fontId="77" fillId="0" borderId="0" xfId="0" applyNumberFormat="1" applyFont="1" applyAlignment="1">
      <alignment horizontal="center"/>
    </xf>
    <xf numFmtId="0" fontId="15" fillId="0" borderId="5" xfId="0" applyFont="1" applyBorder="1" applyAlignment="1">
      <alignment horizontal="center" wrapText="1"/>
    </xf>
    <xf numFmtId="167" fontId="18" fillId="0" borderId="12" xfId="0" applyNumberFormat="1" applyFont="1" applyBorder="1" applyAlignment="1">
      <alignment wrapText="1"/>
    </xf>
    <xf numFmtId="0" fontId="18" fillId="0" borderId="12" xfId="0" applyFont="1" applyBorder="1" applyAlignment="1">
      <alignment wrapText="1"/>
    </xf>
    <xf numFmtId="1" fontId="18" fillId="0" borderId="12" xfId="0" applyNumberFormat="1" applyFont="1" applyBorder="1" applyAlignment="1">
      <alignment wrapText="1"/>
    </xf>
    <xf numFmtId="1" fontId="15" fillId="0" borderId="19" xfId="0" applyNumberFormat="1" applyFont="1" applyBorder="1" applyAlignment="1">
      <alignment wrapText="1"/>
    </xf>
    <xf numFmtId="167" fontId="15" fillId="0" borderId="0" xfId="0" applyNumberFormat="1" applyFont="1" applyAlignment="1">
      <alignment horizontal="center" wrapText="1"/>
    </xf>
    <xf numFmtId="0" fontId="18" fillId="0" borderId="0" xfId="0" applyFont="1" applyAlignment="1">
      <alignment horizontal="center" wrapText="1"/>
    </xf>
    <xf numFmtId="0" fontId="63" fillId="0" borderId="5" xfId="0" applyFont="1" applyBorder="1" applyAlignment="1">
      <alignment horizontal="left" wrapText="1"/>
    </xf>
    <xf numFmtId="0" fontId="68" fillId="4" borderId="0" xfId="0" applyFont="1" applyFill="1" applyAlignment="1">
      <alignment horizontal="center"/>
    </xf>
    <xf numFmtId="0" fontId="92" fillId="0" borderId="0" xfId="0" applyFont="1" applyAlignment="1">
      <alignment horizontal="center"/>
    </xf>
    <xf numFmtId="0" fontId="77" fillId="0" borderId="0" xfId="0" applyFont="1" applyAlignment="1">
      <alignment horizontal="left" wrapText="1"/>
    </xf>
    <xf numFmtId="0" fontId="77" fillId="0" borderId="0" xfId="0" applyFont="1" applyAlignment="1">
      <alignment wrapText="1"/>
    </xf>
    <xf numFmtId="14" fontId="77" fillId="0" borderId="0" xfId="0" applyNumberFormat="1" applyFont="1" applyAlignment="1">
      <alignment horizontal="left" wrapText="1"/>
    </xf>
    <xf numFmtId="0" fontId="93" fillId="0" borderId="0" xfId="0" applyFont="1"/>
    <xf numFmtId="0" fontId="79" fillId="0" borderId="0" xfId="0" applyFont="1"/>
    <xf numFmtId="0" fontId="79" fillId="0" borderId="0" xfId="0" applyFont="1" applyAlignment="1">
      <alignment wrapText="1"/>
    </xf>
    <xf numFmtId="0" fontId="68" fillId="4" borderId="7" xfId="0" applyFont="1" applyFill="1" applyBorder="1" applyAlignment="1">
      <alignment horizontal="center" wrapText="1"/>
    </xf>
    <xf numFmtId="167" fontId="71" fillId="4" borderId="8" xfId="0" applyNumberFormat="1" applyFont="1" applyFill="1" applyBorder="1"/>
    <xf numFmtId="9" fontId="68" fillId="4" borderId="8" xfId="2" applyFont="1" applyFill="1" applyBorder="1" applyAlignment="1">
      <alignment horizontal="center"/>
    </xf>
    <xf numFmtId="167" fontId="71" fillId="4" borderId="5" xfId="0" applyNumberFormat="1" applyFont="1" applyFill="1" applyBorder="1"/>
    <xf numFmtId="9" fontId="71" fillId="4" borderId="5" xfId="2" applyFont="1" applyFill="1" applyBorder="1" applyAlignment="1">
      <alignment horizontal="center"/>
    </xf>
    <xf numFmtId="167" fontId="70" fillId="4" borderId="8" xfId="2" applyNumberFormat="1" applyFont="1" applyFill="1" applyBorder="1" applyAlignment="1">
      <alignment horizontal="center"/>
    </xf>
    <xf numFmtId="167" fontId="67" fillId="4" borderId="7" xfId="0" applyNumberFormat="1" applyFont="1" applyFill="1" applyBorder="1" applyAlignment="1">
      <alignment horizontal="center"/>
    </xf>
    <xf numFmtId="167" fontId="76" fillId="4" borderId="8" xfId="0" applyNumberFormat="1" applyFont="1" applyFill="1" applyBorder="1"/>
    <xf numFmtId="167" fontId="76" fillId="4" borderId="8" xfId="0" applyNumberFormat="1" applyFont="1" applyFill="1" applyBorder="1" applyAlignment="1">
      <alignment wrapText="1"/>
    </xf>
    <xf numFmtId="167" fontId="76" fillId="4" borderId="5" xfId="0" applyNumberFormat="1" applyFont="1" applyFill="1" applyBorder="1"/>
    <xf numFmtId="167" fontId="80" fillId="4" borderId="5" xfId="0" applyNumberFormat="1" applyFont="1" applyFill="1" applyBorder="1"/>
    <xf numFmtId="14" fontId="70" fillId="4" borderId="7" xfId="0" applyNumberFormat="1" applyFont="1" applyFill="1" applyBorder="1" applyAlignment="1">
      <alignment horizontal="center" wrapText="1"/>
    </xf>
    <xf numFmtId="168" fontId="64" fillId="0" borderId="0" xfId="0" applyNumberFormat="1" applyFont="1"/>
    <xf numFmtId="167" fontId="64" fillId="13" borderId="14" xfId="0" applyNumberFormat="1" applyFont="1" applyFill="1" applyBorder="1"/>
    <xf numFmtId="167" fontId="80" fillId="13" borderId="5" xfId="0" applyNumberFormat="1" applyFont="1" applyFill="1" applyBorder="1"/>
    <xf numFmtId="0" fontId="63" fillId="14" borderId="5" xfId="0" applyFont="1" applyFill="1" applyBorder="1" applyAlignment="1">
      <alignment horizontal="left"/>
    </xf>
    <xf numFmtId="168" fontId="18" fillId="14" borderId="5" xfId="0" applyNumberFormat="1" applyFont="1" applyFill="1" applyBorder="1" applyAlignment="1">
      <alignment horizontal="right"/>
    </xf>
    <xf numFmtId="168" fontId="16" fillId="14" borderId="5" xfId="0" applyNumberFormat="1" applyFont="1" applyFill="1" applyBorder="1"/>
    <xf numFmtId="168" fontId="18" fillId="14" borderId="6" xfId="0" applyNumberFormat="1" applyFont="1" applyFill="1" applyBorder="1" applyAlignment="1">
      <alignment horizontal="right"/>
    </xf>
    <xf numFmtId="168" fontId="21" fillId="14" borderId="6" xfId="0" applyNumberFormat="1" applyFont="1" applyFill="1" applyBorder="1" applyAlignment="1">
      <alignment horizontal="right"/>
    </xf>
    <xf numFmtId="168" fontId="21" fillId="14" borderId="5" xfId="0" applyNumberFormat="1" applyFont="1" applyFill="1" applyBorder="1" applyAlignment="1">
      <alignment horizontal="right"/>
    </xf>
    <xf numFmtId="167" fontId="17" fillId="14" borderId="5" xfId="0" applyNumberFormat="1" applyFont="1" applyFill="1" applyBorder="1" applyAlignment="1">
      <alignment horizontal="right"/>
    </xf>
    <xf numFmtId="167" fontId="16" fillId="14" borderId="5" xfId="0" applyNumberFormat="1" applyFont="1" applyFill="1" applyBorder="1" applyAlignment="1">
      <alignment horizontal="center"/>
    </xf>
    <xf numFmtId="167" fontId="17" fillId="14" borderId="5" xfId="0" applyNumberFormat="1" applyFont="1" applyFill="1" applyBorder="1" applyAlignment="1">
      <alignment horizontal="center"/>
    </xf>
    <xf numFmtId="0" fontId="18" fillId="14" borderId="12" xfId="0" applyFont="1" applyFill="1" applyBorder="1" applyAlignment="1">
      <alignment horizontal="center"/>
    </xf>
    <xf numFmtId="0" fontId="10" fillId="14" borderId="12" xfId="0" applyFont="1" applyFill="1" applyBorder="1"/>
    <xf numFmtId="0" fontId="18" fillId="14" borderId="0" xfId="0" applyFont="1" applyFill="1" applyAlignment="1">
      <alignment horizontal="center"/>
    </xf>
    <xf numFmtId="0" fontId="6" fillId="14" borderId="12" xfId="0" applyFont="1" applyFill="1" applyBorder="1"/>
    <xf numFmtId="9" fontId="10" fillId="14" borderId="0" xfId="2" applyFont="1" applyFill="1" applyAlignment="1">
      <alignment horizontal="center"/>
    </xf>
    <xf numFmtId="167" fontId="17" fillId="14" borderId="5" xfId="2" applyNumberFormat="1" applyFont="1" applyFill="1" applyBorder="1" applyAlignment="1">
      <alignment horizontal="center"/>
    </xf>
    <xf numFmtId="167" fontId="21" fillId="14" borderId="5" xfId="2" applyNumberFormat="1" applyFont="1" applyFill="1" applyBorder="1" applyAlignment="1">
      <alignment horizontal="center"/>
    </xf>
    <xf numFmtId="9" fontId="21" fillId="14" borderId="5" xfId="2" applyFont="1" applyFill="1" applyBorder="1" applyAlignment="1">
      <alignment horizontal="center"/>
    </xf>
    <xf numFmtId="167" fontId="16" fillId="14" borderId="5" xfId="2" applyNumberFormat="1" applyFont="1" applyFill="1" applyBorder="1" applyAlignment="1">
      <alignment horizontal="center"/>
    </xf>
    <xf numFmtId="167" fontId="19" fillId="14" borderId="5" xfId="0" applyNumberFormat="1" applyFont="1" applyFill="1" applyBorder="1" applyAlignment="1">
      <alignment horizontal="left"/>
    </xf>
    <xf numFmtId="9" fontId="19" fillId="14" borderId="5" xfId="2" applyFont="1" applyFill="1" applyBorder="1" applyAlignment="1">
      <alignment horizontal="center"/>
    </xf>
    <xf numFmtId="167" fontId="17" fillId="14" borderId="0" xfId="2" applyNumberFormat="1" applyFont="1" applyFill="1" applyBorder="1" applyAlignment="1">
      <alignment horizontal="left"/>
    </xf>
    <xf numFmtId="0" fontId="17" fillId="14" borderId="0" xfId="0" applyFont="1" applyFill="1" applyAlignment="1">
      <alignment horizontal="left"/>
    </xf>
    <xf numFmtId="167" fontId="11" fillId="14" borderId="5" xfId="0" applyNumberFormat="1" applyFont="1" applyFill="1" applyBorder="1" applyAlignment="1">
      <alignment horizontal="left"/>
    </xf>
    <xf numFmtId="167" fontId="44" fillId="14" borderId="5" xfId="0" applyNumberFormat="1" applyFont="1" applyFill="1" applyBorder="1" applyAlignment="1">
      <alignment horizontal="left"/>
    </xf>
    <xf numFmtId="9" fontId="44" fillId="14" borderId="5" xfId="2" applyFont="1" applyFill="1" applyBorder="1" applyAlignment="1">
      <alignment horizontal="center"/>
    </xf>
    <xf numFmtId="167" fontId="16" fillId="14" borderId="5" xfId="0" applyNumberFormat="1" applyFont="1" applyFill="1" applyBorder="1" applyAlignment="1">
      <alignment horizontal="left"/>
    </xf>
    <xf numFmtId="9" fontId="16" fillId="14" borderId="5" xfId="2" applyFont="1" applyFill="1" applyBorder="1" applyAlignment="1">
      <alignment horizontal="center"/>
    </xf>
    <xf numFmtId="9" fontId="52" fillId="14" borderId="5" xfId="2" applyFont="1" applyFill="1" applyBorder="1" applyAlignment="1">
      <alignment horizontal="center"/>
    </xf>
    <xf numFmtId="167" fontId="11" fillId="14" borderId="0" xfId="0" applyNumberFormat="1" applyFont="1" applyFill="1" applyAlignment="1">
      <alignment horizontal="left"/>
    </xf>
    <xf numFmtId="167" fontId="64" fillId="14" borderId="5" xfId="0" applyNumberFormat="1" applyFont="1" applyFill="1" applyBorder="1" applyAlignment="1">
      <alignment horizontal="left"/>
    </xf>
    <xf numFmtId="167" fontId="68" fillId="14" borderId="5" xfId="0" applyNumberFormat="1" applyFont="1" applyFill="1" applyBorder="1" applyAlignment="1">
      <alignment horizontal="left"/>
    </xf>
    <xf numFmtId="9" fontId="68" fillId="14" borderId="5" xfId="2" applyFont="1" applyFill="1" applyBorder="1" applyAlignment="1">
      <alignment horizontal="center"/>
    </xf>
    <xf numFmtId="167" fontId="69" fillId="14" borderId="5" xfId="2" applyNumberFormat="1" applyFont="1" applyFill="1" applyBorder="1" applyAlignment="1">
      <alignment horizontal="center"/>
    </xf>
    <xf numFmtId="9" fontId="69" fillId="14" borderId="5" xfId="2" applyFont="1" applyFill="1" applyBorder="1" applyAlignment="1">
      <alignment horizontal="center"/>
    </xf>
    <xf numFmtId="167" fontId="64" fillId="14" borderId="5" xfId="2" applyNumberFormat="1" applyFont="1" applyFill="1" applyBorder="1" applyAlignment="1">
      <alignment horizontal="center"/>
    </xf>
    <xf numFmtId="167" fontId="64" fillId="14" borderId="5" xfId="2" applyNumberFormat="1" applyFont="1" applyFill="1" applyBorder="1" applyAlignment="1">
      <alignment horizontal="left" wrapText="1"/>
    </xf>
    <xf numFmtId="167" fontId="73" fillId="14" borderId="5" xfId="2" applyNumberFormat="1" applyFont="1" applyFill="1" applyBorder="1" applyAlignment="1">
      <alignment horizontal="left" wrapText="1"/>
    </xf>
    <xf numFmtId="0" fontId="71" fillId="14" borderId="5" xfId="0" applyFont="1" applyFill="1" applyBorder="1"/>
    <xf numFmtId="167" fontId="64" fillId="14" borderId="5" xfId="1" applyNumberFormat="1" applyFont="1" applyFill="1" applyBorder="1"/>
    <xf numFmtId="167" fontId="69" fillId="14" borderId="5" xfId="1" applyNumberFormat="1" applyFont="1" applyFill="1" applyBorder="1"/>
    <xf numFmtId="167" fontId="71" fillId="14" borderId="5" xfId="0" applyNumberFormat="1" applyFont="1" applyFill="1" applyBorder="1"/>
    <xf numFmtId="167" fontId="76" fillId="14" borderId="5" xfId="0" applyNumberFormat="1" applyFont="1" applyFill="1" applyBorder="1"/>
    <xf numFmtId="0" fontId="63" fillId="14" borderId="5" xfId="0" applyFont="1" applyFill="1" applyBorder="1" applyAlignment="1">
      <alignment horizontal="left" wrapText="1"/>
    </xf>
    <xf numFmtId="167" fontId="19" fillId="14" borderId="5" xfId="0" applyNumberFormat="1" applyFont="1" applyFill="1" applyBorder="1" applyAlignment="1">
      <alignment horizontal="center"/>
    </xf>
    <xf numFmtId="167" fontId="11" fillId="14" borderId="5" xfId="0" applyNumberFormat="1" applyFont="1" applyFill="1" applyBorder="1" applyAlignment="1">
      <alignment horizontal="center"/>
    </xf>
    <xf numFmtId="167" fontId="44" fillId="14" borderId="5" xfId="0" applyNumberFormat="1" applyFont="1" applyFill="1" applyBorder="1" applyAlignment="1">
      <alignment horizontal="center"/>
    </xf>
    <xf numFmtId="167" fontId="11" fillId="14" borderId="0" xfId="0" applyNumberFormat="1" applyFont="1" applyFill="1" applyAlignment="1">
      <alignment horizontal="center"/>
    </xf>
    <xf numFmtId="167" fontId="64" fillId="14" borderId="5" xfId="0" applyNumberFormat="1" applyFont="1" applyFill="1" applyBorder="1" applyAlignment="1">
      <alignment horizontal="center"/>
    </xf>
    <xf numFmtId="167" fontId="68" fillId="14" borderId="5" xfId="0" applyNumberFormat="1" applyFont="1" applyFill="1" applyBorder="1" applyAlignment="1">
      <alignment horizontal="center"/>
    </xf>
    <xf numFmtId="167" fontId="72" fillId="14" borderId="5" xfId="2" applyNumberFormat="1" applyFont="1" applyFill="1" applyBorder="1" applyAlignment="1">
      <alignment horizontal="center" wrapText="1"/>
    </xf>
    <xf numFmtId="167" fontId="73" fillId="14" borderId="5" xfId="2" applyNumberFormat="1" applyFont="1" applyFill="1" applyBorder="1" applyAlignment="1">
      <alignment horizontal="center"/>
    </xf>
    <xf numFmtId="0" fontId="10" fillId="10" borderId="0" xfId="0" applyFont="1" applyFill="1" applyAlignment="1">
      <alignment horizontal="center"/>
    </xf>
    <xf numFmtId="0" fontId="81" fillId="9" borderId="0" xfId="0" applyFont="1" applyFill="1" applyAlignment="1">
      <alignment horizontal="center"/>
    </xf>
    <xf numFmtId="166" fontId="81" fillId="9" borderId="0" xfId="0" applyNumberFormat="1" applyFont="1" applyFill="1" applyAlignment="1">
      <alignment horizontal="center"/>
    </xf>
    <xf numFmtId="9" fontId="85" fillId="9" borderId="0" xfId="2" applyFont="1" applyFill="1" applyAlignment="1">
      <alignment horizontal="center"/>
    </xf>
    <xf numFmtId="9" fontId="85" fillId="10" borderId="0" xfId="2" applyFont="1" applyFill="1" applyAlignment="1">
      <alignment horizontal="center"/>
    </xf>
    <xf numFmtId="0" fontId="83" fillId="10" borderId="0" xfId="0" applyFont="1" applyFill="1" applyAlignment="1">
      <alignment horizontal="center"/>
    </xf>
    <xf numFmtId="0" fontId="83" fillId="0" borderId="0" xfId="0" applyFont="1" applyAlignment="1">
      <alignment horizontal="center"/>
    </xf>
    <xf numFmtId="0" fontId="10" fillId="0" borderId="0" xfId="0" applyFont="1" applyAlignment="1">
      <alignment horizontal="center"/>
    </xf>
    <xf numFmtId="0" fontId="38" fillId="0" borderId="0" xfId="0" applyFont="1" applyAlignment="1">
      <alignment horizontal="right"/>
    </xf>
    <xf numFmtId="0" fontId="49" fillId="0" borderId="0" xfId="0" applyFont="1"/>
    <xf numFmtId="0" fontId="34" fillId="0" borderId="0" xfId="0" applyFont="1" applyAlignment="1">
      <alignment horizontal="right"/>
    </xf>
    <xf numFmtId="0" fontId="48" fillId="0" borderId="0" xfId="0" applyFont="1" applyAlignment="1">
      <alignment horizontal="right"/>
    </xf>
    <xf numFmtId="0" fontId="2" fillId="0" borderId="0" xfId="0" applyFont="1" applyAlignment="1">
      <alignment wrapText="1"/>
    </xf>
    <xf numFmtId="0" fontId="49" fillId="0" borderId="0" xfId="0" applyFont="1" applyAlignment="1">
      <alignment wrapText="1"/>
    </xf>
    <xf numFmtId="0" fontId="60" fillId="0" borderId="0" xfId="0" applyFont="1" applyAlignment="1">
      <alignment horizontal="left"/>
    </xf>
    <xf numFmtId="167" fontId="49" fillId="0" borderId="0" xfId="0" applyNumberFormat="1" applyFont="1"/>
    <xf numFmtId="0" fontId="76" fillId="0" borderId="0" xfId="0" applyFont="1"/>
    <xf numFmtId="0" fontId="79" fillId="0" borderId="0" xfId="0" applyFont="1" applyAlignment="1">
      <alignment horizontal="left"/>
    </xf>
    <xf numFmtId="0" fontId="79" fillId="0" borderId="0" xfId="0" applyFont="1" applyAlignment="1">
      <alignment horizontal="left" wrapText="1"/>
    </xf>
    <xf numFmtId="14" fontId="79" fillId="0" borderId="0" xfId="0" applyNumberFormat="1" applyFont="1" applyAlignment="1">
      <alignment horizontal="left"/>
    </xf>
    <xf numFmtId="0" fontId="43" fillId="0" borderId="0" xfId="0" applyFont="1" applyAlignment="1">
      <alignment horizontal="left"/>
    </xf>
    <xf numFmtId="14" fontId="0" fillId="0" borderId="0" xfId="0" applyNumberFormat="1" applyAlignment="1">
      <alignment horizontal="center"/>
    </xf>
    <xf numFmtId="0" fontId="35" fillId="0" borderId="0" xfId="0" applyFont="1" applyAlignment="1">
      <alignment horizontal="left"/>
    </xf>
    <xf numFmtId="167" fontId="35" fillId="0" borderId="0" xfId="0" applyNumberFormat="1" applyFont="1"/>
    <xf numFmtId="0" fontId="35" fillId="0" borderId="0" xfId="0" applyFont="1" applyAlignment="1">
      <alignment horizontal="center" wrapText="1"/>
    </xf>
    <xf numFmtId="0" fontId="35" fillId="0" borderId="0" xfId="0" applyFont="1" applyAlignment="1">
      <alignment wrapText="1"/>
    </xf>
    <xf numFmtId="14" fontId="0" fillId="0" borderId="0" xfId="0" applyNumberFormat="1" applyAlignment="1">
      <alignment horizontal="left"/>
    </xf>
    <xf numFmtId="0" fontId="37" fillId="0" borderId="0" xfId="0" applyFont="1"/>
    <xf numFmtId="0" fontId="40" fillId="0" borderId="0" xfId="0" applyFont="1" applyAlignment="1">
      <alignment horizontal="center" wrapText="1"/>
    </xf>
    <xf numFmtId="0" fontId="38" fillId="0" borderId="0" xfId="0" applyFont="1" applyAlignment="1">
      <alignment horizontal="right" wrapText="1"/>
    </xf>
    <xf numFmtId="0" fontId="40" fillId="0" borderId="0" xfId="0" applyFont="1" applyAlignment="1">
      <alignment horizontal="right" wrapText="1"/>
    </xf>
    <xf numFmtId="0" fontId="91" fillId="0" borderId="0" xfId="0" applyFont="1"/>
    <xf numFmtId="0" fontId="15" fillId="0" borderId="4" xfId="0" applyFont="1" applyBorder="1" applyAlignment="1">
      <alignment horizontal="left"/>
    </xf>
    <xf numFmtId="0" fontId="32" fillId="0" borderId="0" xfId="0" applyFont="1" applyAlignment="1">
      <alignment horizontal="left"/>
    </xf>
    <xf numFmtId="0" fontId="18" fillId="2" borderId="29" xfId="0" applyFont="1" applyFill="1" applyBorder="1" applyAlignment="1">
      <alignment horizontal="center"/>
    </xf>
    <xf numFmtId="167" fontId="31" fillId="4" borderId="0" xfId="0" applyNumberFormat="1" applyFont="1" applyFill="1" applyAlignment="1">
      <alignment horizontal="center"/>
    </xf>
    <xf numFmtId="0" fontId="15" fillId="2" borderId="0" xfId="0" applyFont="1" applyFill="1"/>
    <xf numFmtId="0" fontId="0" fillId="13" borderId="0" xfId="0" applyFill="1"/>
    <xf numFmtId="167" fontId="63" fillId="13" borderId="0" xfId="0" applyNumberFormat="1" applyFont="1" applyFill="1"/>
    <xf numFmtId="167" fontId="0" fillId="0" borderId="4" xfId="0" applyNumberFormat="1" applyBorder="1"/>
    <xf numFmtId="167" fontId="3" fillId="0" borderId="31" xfId="0" applyNumberFormat="1" applyFont="1" applyBorder="1"/>
    <xf numFmtId="167" fontId="3" fillId="0" borderId="0" xfId="1" applyNumberFormat="1" applyFont="1"/>
    <xf numFmtId="167" fontId="3" fillId="0" borderId="0" xfId="1" applyNumberFormat="1" applyFont="1" applyAlignment="1">
      <alignment horizontal="center"/>
    </xf>
    <xf numFmtId="0" fontId="0" fillId="4" borderId="0" xfId="0" applyFill="1"/>
    <xf numFmtId="0" fontId="0" fillId="0" borderId="1" xfId="0" applyBorder="1"/>
    <xf numFmtId="0" fontId="0" fillId="4" borderId="1" xfId="0" applyFill="1" applyBorder="1"/>
    <xf numFmtId="167" fontId="35" fillId="0" borderId="0" xfId="5" applyNumberFormat="1" applyFont="1" applyAlignment="1">
      <alignment horizontal="center" wrapText="1"/>
    </xf>
    <xf numFmtId="0" fontId="111" fillId="0" borderId="0" xfId="0" applyFont="1"/>
    <xf numFmtId="0" fontId="112" fillId="0" borderId="0" xfId="0" applyFont="1"/>
    <xf numFmtId="0" fontId="114" fillId="0" borderId="0" xfId="0" applyFont="1"/>
    <xf numFmtId="15" fontId="113" fillId="0" borderId="0" xfId="3" applyNumberFormat="1" applyFont="1" applyBorder="1" applyAlignment="1">
      <alignment horizontal="center"/>
    </xf>
    <xf numFmtId="1" fontId="62" fillId="0" borderId="0" xfId="0" applyNumberFormat="1" applyFont="1" applyAlignment="1">
      <alignment horizontal="center"/>
    </xf>
    <xf numFmtId="0" fontId="113" fillId="0" borderId="0" xfId="3" applyFont="1" applyBorder="1" applyAlignment="1">
      <alignment horizontal="left"/>
    </xf>
    <xf numFmtId="0" fontId="113" fillId="0" borderId="0" xfId="0" applyFont="1" applyAlignment="1">
      <alignment horizontal="center"/>
    </xf>
    <xf numFmtId="167" fontId="113" fillId="0" borderId="0" xfId="3" applyNumberFormat="1" applyFont="1" applyBorder="1" applyAlignment="1">
      <alignment horizontal="center" wrapText="1"/>
    </xf>
    <xf numFmtId="167" fontId="113" fillId="0" borderId="0" xfId="3" applyNumberFormat="1" applyFont="1" applyBorder="1" applyAlignment="1">
      <alignment horizontal="center"/>
    </xf>
    <xf numFmtId="0" fontId="41" fillId="0" borderId="0" xfId="0" applyFont="1" applyAlignment="1">
      <alignment horizontal="center"/>
    </xf>
    <xf numFmtId="0" fontId="115" fillId="0" borderId="0" xfId="0" applyFont="1"/>
    <xf numFmtId="0" fontId="116" fillId="0" borderId="0" xfId="0" applyFont="1"/>
    <xf numFmtId="0" fontId="116" fillId="0" borderId="0" xfId="0" applyFont="1" applyAlignment="1">
      <alignment wrapText="1"/>
    </xf>
    <xf numFmtId="0" fontId="118" fillId="0" borderId="0" xfId="0" applyFont="1" applyAlignment="1">
      <alignment wrapText="1"/>
    </xf>
    <xf numFmtId="0" fontId="29" fillId="0" borderId="0" xfId="0" applyFont="1" applyAlignment="1">
      <alignment horizontal="center"/>
    </xf>
    <xf numFmtId="167" fontId="0" fillId="0" borderId="0" xfId="1" applyNumberFormat="1" applyFont="1" applyAlignment="1">
      <alignment horizontal="right"/>
    </xf>
    <xf numFmtId="167" fontId="0" fillId="0" borderId="0" xfId="0" applyNumberFormat="1" applyAlignment="1">
      <alignment horizontal="right"/>
    </xf>
    <xf numFmtId="167" fontId="0" fillId="4" borderId="0" xfId="0" applyNumberFormat="1" applyFill="1"/>
    <xf numFmtId="0" fontId="49" fillId="4" borderId="0" xfId="0" applyFont="1" applyFill="1"/>
    <xf numFmtId="0" fontId="29" fillId="0" borderId="0" xfId="0" applyFont="1" applyAlignment="1">
      <alignment horizontal="right"/>
    </xf>
    <xf numFmtId="168" fontId="0" fillId="0" borderId="31" xfId="1" applyNumberFormat="1" applyFont="1" applyBorder="1" applyAlignment="1">
      <alignment horizontal="right"/>
    </xf>
    <xf numFmtId="168" fontId="0" fillId="0" borderId="0" xfId="1" applyNumberFormat="1" applyFont="1" applyFill="1" applyBorder="1" applyAlignment="1">
      <alignment horizontal="right"/>
    </xf>
    <xf numFmtId="168" fontId="0" fillId="0" borderId="0" xfId="1" applyNumberFormat="1" applyFont="1" applyAlignment="1">
      <alignment horizontal="right"/>
    </xf>
    <xf numFmtId="168" fontId="0" fillId="0" borderId="0" xfId="0" applyNumberFormat="1" applyAlignment="1">
      <alignment horizontal="right"/>
    </xf>
    <xf numFmtId="167" fontId="0" fillId="0" borderId="0" xfId="1" applyNumberFormat="1" applyFont="1" applyFill="1"/>
    <xf numFmtId="168" fontId="0" fillId="4" borderId="25" xfId="0" applyNumberFormat="1" applyFill="1" applyBorder="1"/>
    <xf numFmtId="0" fontId="0" fillId="0" borderId="26" xfId="0" applyBorder="1"/>
    <xf numFmtId="168" fontId="0" fillId="4" borderId="27" xfId="0" applyNumberFormat="1" applyFill="1" applyBorder="1"/>
    <xf numFmtId="0" fontId="2" fillId="23" borderId="0" xfId="0" applyFont="1" applyFill="1" applyAlignment="1">
      <alignment wrapText="1"/>
    </xf>
    <xf numFmtId="0" fontId="49" fillId="23" borderId="0" xfId="0" applyFont="1" applyFill="1" applyAlignment="1">
      <alignment wrapText="1"/>
    </xf>
    <xf numFmtId="0" fontId="76" fillId="23" borderId="0" xfId="0" applyFont="1" applyFill="1"/>
    <xf numFmtId="0" fontId="78" fillId="23" borderId="0" xfId="0" applyFont="1" applyFill="1"/>
    <xf numFmtId="0" fontId="77" fillId="23" borderId="0" xfId="0" applyFont="1" applyFill="1"/>
    <xf numFmtId="0" fontId="78" fillId="24" borderId="0" xfId="0" applyFont="1" applyFill="1"/>
    <xf numFmtId="167" fontId="13" fillId="0" borderId="1" xfId="0" applyNumberFormat="1" applyFont="1" applyBorder="1"/>
    <xf numFmtId="0" fontId="80" fillId="0" borderId="1" xfId="0" applyFont="1" applyBorder="1"/>
    <xf numFmtId="0" fontId="120" fillId="0" borderId="1" xfId="0" applyFont="1" applyBorder="1"/>
    <xf numFmtId="0" fontId="80" fillId="23" borderId="1" xfId="0" applyFont="1" applyFill="1" applyBorder="1"/>
    <xf numFmtId="0" fontId="120" fillId="23" borderId="1" xfId="0" applyFont="1" applyFill="1" applyBorder="1"/>
    <xf numFmtId="0" fontId="13" fillId="0" borderId="0" xfId="0" applyFont="1" applyAlignment="1">
      <alignment wrapText="1"/>
    </xf>
    <xf numFmtId="0" fontId="91" fillId="0" borderId="0" xfId="0" applyFont="1" applyAlignment="1">
      <alignment wrapText="1"/>
    </xf>
    <xf numFmtId="0" fontId="70" fillId="0" borderId="5" xfId="0" applyFont="1" applyBorder="1" applyAlignment="1">
      <alignment horizontal="center" wrapText="1"/>
    </xf>
    <xf numFmtId="0" fontId="121" fillId="0" borderId="0" xfId="0" applyFont="1" applyAlignment="1">
      <alignment horizontal="center" vertical="center" wrapText="1"/>
    </xf>
    <xf numFmtId="0" fontId="123" fillId="0" borderId="0" xfId="0" applyFont="1"/>
    <xf numFmtId="0" fontId="117" fillId="0" borderId="0" xfId="0" applyFont="1" applyAlignment="1">
      <alignment horizontal="center" vertical="center" wrapText="1"/>
    </xf>
    <xf numFmtId="0" fontId="124" fillId="0" borderId="0" xfId="0" applyFont="1" applyAlignment="1">
      <alignment horizontal="center" vertical="center" wrapText="1"/>
    </xf>
    <xf numFmtId="0" fontId="124" fillId="0" borderId="0" xfId="0" applyFont="1" applyAlignment="1">
      <alignment wrapText="1"/>
    </xf>
    <xf numFmtId="0" fontId="122" fillId="0" borderId="5" xfId="0" applyFont="1" applyBorder="1" applyAlignment="1">
      <alignment horizontal="center" wrapText="1"/>
    </xf>
    <xf numFmtId="0" fontId="122" fillId="0" borderId="0" xfId="0" applyFont="1" applyAlignment="1">
      <alignment horizontal="center" wrapText="1"/>
    </xf>
    <xf numFmtId="0" fontId="119" fillId="0" borderId="5" xfId="0" applyFont="1" applyBorder="1" applyAlignment="1">
      <alignment horizontal="center" wrapText="1"/>
    </xf>
    <xf numFmtId="0" fontId="18" fillId="0" borderId="29" xfId="0" applyFont="1" applyBorder="1" applyAlignment="1">
      <alignment horizontal="center"/>
    </xf>
    <xf numFmtId="0" fontId="0" fillId="0" borderId="8" xfId="0" applyBorder="1"/>
    <xf numFmtId="167" fontId="64" fillId="0" borderId="0" xfId="3" applyNumberFormat="1" applyFont="1" applyBorder="1" applyAlignment="1">
      <alignment horizontal="center"/>
    </xf>
    <xf numFmtId="168" fontId="63" fillId="0" borderId="0" xfId="0" applyNumberFormat="1" applyFont="1"/>
    <xf numFmtId="166" fontId="125" fillId="0" borderId="0" xfId="0" applyNumberFormat="1" applyFont="1"/>
    <xf numFmtId="0" fontId="126" fillId="0" borderId="0" xfId="0" applyFont="1"/>
    <xf numFmtId="0" fontId="63" fillId="15" borderId="0" xfId="0" applyFont="1" applyFill="1" applyProtection="1">
      <protection locked="0"/>
    </xf>
    <xf numFmtId="0" fontId="63" fillId="16" borderId="0" xfId="0" applyFont="1" applyFill="1" applyProtection="1">
      <protection locked="0"/>
    </xf>
    <xf numFmtId="0" fontId="99" fillId="17" borderId="25" xfId="0" applyFont="1" applyFill="1" applyBorder="1" applyAlignment="1" applyProtection="1">
      <alignment vertical="center"/>
      <protection locked="0"/>
    </xf>
    <xf numFmtId="0" fontId="100" fillId="17" borderId="27" xfId="0" applyFont="1" applyFill="1" applyBorder="1" applyAlignment="1" applyProtection="1">
      <alignment vertical="center"/>
      <protection locked="0"/>
    </xf>
    <xf numFmtId="0" fontId="100" fillId="17" borderId="26" xfId="0" applyFont="1" applyFill="1" applyBorder="1" applyAlignment="1" applyProtection="1">
      <alignment vertical="center"/>
      <protection locked="0"/>
    </xf>
    <xf numFmtId="0" fontId="63" fillId="0" borderId="0" xfId="0" applyFont="1" applyProtection="1">
      <protection locked="0"/>
    </xf>
    <xf numFmtId="0" fontId="102" fillId="15" borderId="10" xfId="0" applyFont="1" applyFill="1" applyBorder="1" applyAlignment="1" applyProtection="1">
      <alignment vertical="center"/>
      <protection locked="0"/>
    </xf>
    <xf numFmtId="0" fontId="100" fillId="15" borderId="10" xfId="0" applyFont="1" applyFill="1" applyBorder="1" applyAlignment="1" applyProtection="1">
      <alignment vertical="center"/>
      <protection locked="0"/>
    </xf>
    <xf numFmtId="0" fontId="101" fillId="15" borderId="10" xfId="0" applyFont="1" applyFill="1" applyBorder="1" applyAlignment="1" applyProtection="1">
      <alignment horizontal="center" vertical="center"/>
      <protection locked="0"/>
    </xf>
    <xf numFmtId="0" fontId="62" fillId="0" borderId="0" xfId="0" applyFont="1" applyAlignment="1" applyProtection="1">
      <alignment vertical="center"/>
      <protection locked="0"/>
    </xf>
    <xf numFmtId="0" fontId="102" fillId="15" borderId="0" xfId="0" applyFont="1" applyFill="1" applyAlignment="1" applyProtection="1">
      <alignment vertical="center"/>
      <protection locked="0"/>
    </xf>
    <xf numFmtId="0" fontId="100" fillId="15" borderId="0" xfId="0" applyFont="1" applyFill="1" applyAlignment="1" applyProtection="1">
      <alignment vertical="center"/>
      <protection locked="0"/>
    </xf>
    <xf numFmtId="0" fontId="101" fillId="15" borderId="0" xfId="0" applyFont="1" applyFill="1" applyAlignment="1" applyProtection="1">
      <alignment horizontal="center" vertical="center"/>
      <protection locked="0"/>
    </xf>
    <xf numFmtId="0" fontId="63" fillId="15" borderId="0" xfId="0" applyFont="1" applyFill="1" applyAlignment="1" applyProtection="1">
      <alignment wrapText="1"/>
      <protection locked="0"/>
    </xf>
    <xf numFmtId="0" fontId="62" fillId="0" borderId="0" xfId="0" applyFont="1" applyAlignment="1" applyProtection="1">
      <alignment wrapText="1"/>
      <protection locked="0"/>
    </xf>
    <xf numFmtId="0" fontId="102" fillId="15" borderId="17" xfId="0" applyFont="1" applyFill="1" applyBorder="1" applyAlignment="1" applyProtection="1">
      <alignment vertical="center"/>
      <protection locked="0"/>
    </xf>
    <xf numFmtId="0" fontId="100" fillId="15" borderId="17" xfId="0" applyFont="1" applyFill="1" applyBorder="1" applyAlignment="1" applyProtection="1">
      <alignment vertical="center"/>
      <protection locked="0"/>
    </xf>
    <xf numFmtId="0" fontId="39" fillId="15" borderId="0" xfId="0" applyFont="1" applyFill="1" applyProtection="1">
      <protection locked="0"/>
    </xf>
    <xf numFmtId="0" fontId="103" fillId="17" borderId="9" xfId="0" applyFont="1" applyFill="1" applyBorder="1" applyAlignment="1" applyProtection="1">
      <alignment vertical="center"/>
      <protection locked="0"/>
    </xf>
    <xf numFmtId="0" fontId="105" fillId="17" borderId="10" xfId="0" applyFont="1" applyFill="1" applyBorder="1" applyAlignment="1" applyProtection="1">
      <alignment vertical="center"/>
      <protection locked="0"/>
    </xf>
    <xf numFmtId="0" fontId="103" fillId="17" borderId="10" xfId="0" applyFont="1" applyFill="1" applyBorder="1" applyProtection="1">
      <protection locked="0"/>
    </xf>
    <xf numFmtId="0" fontId="106" fillId="17" borderId="10" xfId="0" quotePrefix="1" applyFont="1" applyFill="1" applyBorder="1" applyProtection="1">
      <protection locked="0"/>
    </xf>
    <xf numFmtId="0" fontId="106" fillId="17" borderId="10" xfId="0" applyFont="1" applyFill="1" applyBorder="1" applyProtection="1">
      <protection locked="0"/>
    </xf>
    <xf numFmtId="0" fontId="107" fillId="17" borderId="10" xfId="0" applyFont="1" applyFill="1" applyBorder="1" applyProtection="1">
      <protection locked="0"/>
    </xf>
    <xf numFmtId="0" fontId="107" fillId="17" borderId="11" xfId="0" applyFont="1" applyFill="1" applyBorder="1" applyProtection="1">
      <protection locked="0"/>
    </xf>
    <xf numFmtId="0" fontId="107" fillId="0" borderId="0" xfId="0" applyFont="1" applyProtection="1">
      <protection locked="0"/>
    </xf>
    <xf numFmtId="0" fontId="67" fillId="15" borderId="13" xfId="0" applyFont="1" applyFill="1" applyBorder="1" applyProtection="1">
      <protection locked="0"/>
    </xf>
    <xf numFmtId="0" fontId="64" fillId="15" borderId="0" xfId="0" applyFont="1" applyFill="1" applyProtection="1">
      <protection locked="0"/>
    </xf>
    <xf numFmtId="0" fontId="64" fillId="15" borderId="0" xfId="0" quotePrefix="1" applyFont="1" applyFill="1" applyProtection="1">
      <protection locked="0"/>
    </xf>
    <xf numFmtId="0" fontId="64" fillId="15" borderId="14" xfId="0" applyFont="1" applyFill="1" applyBorder="1" applyProtection="1">
      <protection locked="0"/>
    </xf>
    <xf numFmtId="0" fontId="64" fillId="0" borderId="0" xfId="0" applyFont="1" applyProtection="1">
      <protection locked="0"/>
    </xf>
    <xf numFmtId="0" fontId="64" fillId="15" borderId="16" xfId="0" applyFont="1" applyFill="1" applyBorder="1" applyProtection="1">
      <protection locked="0"/>
    </xf>
    <xf numFmtId="0" fontId="64" fillId="15" borderId="17" xfId="0" applyFont="1" applyFill="1" applyBorder="1" applyProtection="1">
      <protection locked="0"/>
    </xf>
    <xf numFmtId="0" fontId="64" fillId="15" borderId="18" xfId="0" applyFont="1" applyFill="1" applyBorder="1" applyProtection="1">
      <protection locked="0"/>
    </xf>
    <xf numFmtId="0" fontId="63" fillId="15" borderId="9" xfId="0" applyFont="1" applyFill="1" applyBorder="1" applyProtection="1">
      <protection locked="0"/>
    </xf>
    <xf numFmtId="0" fontId="63" fillId="15" borderId="10" xfId="0" applyFont="1" applyFill="1" applyBorder="1" applyProtection="1">
      <protection locked="0"/>
    </xf>
    <xf numFmtId="0" fontId="63" fillId="15" borderId="11" xfId="0" applyFont="1" applyFill="1" applyBorder="1" applyProtection="1">
      <protection locked="0"/>
    </xf>
    <xf numFmtId="0" fontId="99" fillId="17" borderId="9" xfId="0" applyFont="1" applyFill="1" applyBorder="1" applyAlignment="1" applyProtection="1">
      <alignment vertical="center"/>
      <protection locked="0"/>
    </xf>
    <xf numFmtId="0" fontId="62" fillId="17" borderId="10" xfId="0" applyFont="1" applyFill="1" applyBorder="1" applyAlignment="1" applyProtection="1">
      <alignment vertical="center"/>
      <protection locked="0"/>
    </xf>
    <xf numFmtId="0" fontId="108" fillId="17" borderId="10" xfId="0" applyFont="1" applyFill="1" applyBorder="1" applyProtection="1">
      <protection locked="0"/>
    </xf>
    <xf numFmtId="0" fontId="32" fillId="17" borderId="10" xfId="0" quotePrefix="1" applyFont="1" applyFill="1" applyBorder="1" applyProtection="1">
      <protection locked="0"/>
    </xf>
    <xf numFmtId="0" fontId="32" fillId="17" borderId="10" xfId="0" applyFont="1" applyFill="1" applyBorder="1" applyProtection="1">
      <protection locked="0"/>
    </xf>
    <xf numFmtId="0" fontId="63" fillId="17" borderId="10" xfId="0" applyFont="1" applyFill="1" applyBorder="1" applyProtection="1">
      <protection locked="0"/>
    </xf>
    <xf numFmtId="0" fontId="63" fillId="17" borderId="11" xfId="0" applyFont="1" applyFill="1" applyBorder="1" applyProtection="1">
      <protection locked="0"/>
    </xf>
    <xf numFmtId="0" fontId="63" fillId="15" borderId="13" xfId="0" applyFont="1" applyFill="1" applyBorder="1" applyProtection="1">
      <protection locked="0"/>
    </xf>
    <xf numFmtId="0" fontId="63" fillId="15" borderId="14" xfId="0" applyFont="1" applyFill="1" applyBorder="1" applyProtection="1">
      <protection locked="0"/>
    </xf>
    <xf numFmtId="0" fontId="63" fillId="16" borderId="4" xfId="0" applyFont="1" applyFill="1" applyBorder="1" applyProtection="1">
      <protection locked="0"/>
    </xf>
    <xf numFmtId="0" fontId="63" fillId="16" borderId="30" xfId="0" applyFont="1" applyFill="1" applyBorder="1" applyProtection="1">
      <protection locked="0"/>
    </xf>
    <xf numFmtId="0" fontId="62" fillId="17" borderId="10" xfId="0" applyFont="1" applyFill="1" applyBorder="1" applyProtection="1">
      <protection locked="0"/>
    </xf>
    <xf numFmtId="0" fontId="32" fillId="18" borderId="0" xfId="0" applyFont="1" applyFill="1" applyProtection="1">
      <protection locked="0"/>
    </xf>
    <xf numFmtId="0" fontId="63" fillId="18" borderId="0" xfId="0" applyFont="1" applyFill="1" applyProtection="1">
      <protection locked="0"/>
    </xf>
    <xf numFmtId="0" fontId="32" fillId="15" borderId="0" xfId="0" applyFont="1" applyFill="1" applyProtection="1">
      <protection locked="0"/>
    </xf>
    <xf numFmtId="0" fontId="63" fillId="0" borderId="13" xfId="0" applyFont="1" applyBorder="1" applyProtection="1">
      <protection locked="0"/>
    </xf>
    <xf numFmtId="0" fontId="63" fillId="15" borderId="0" xfId="0" quotePrefix="1" applyFont="1" applyFill="1" applyAlignment="1" applyProtection="1">
      <alignment horizontal="left"/>
      <protection locked="0"/>
    </xf>
    <xf numFmtId="0" fontId="92" fillId="15" borderId="13" xfId="0" applyFont="1" applyFill="1" applyBorder="1" applyProtection="1">
      <protection locked="0"/>
    </xf>
    <xf numFmtId="0" fontId="63" fillId="15" borderId="25" xfId="0" applyFont="1" applyFill="1" applyBorder="1" applyAlignment="1" applyProtection="1">
      <alignment horizontal="left" vertical="center"/>
      <protection locked="0"/>
    </xf>
    <xf numFmtId="0" fontId="92" fillId="15" borderId="26" xfId="0" applyFont="1" applyFill="1" applyBorder="1" applyAlignment="1" applyProtection="1">
      <alignment horizontal="right" vertical="center"/>
      <protection locked="0"/>
    </xf>
    <xf numFmtId="0" fontId="63" fillId="15" borderId="25" xfId="0" applyFont="1" applyFill="1" applyBorder="1" applyAlignment="1" applyProtection="1">
      <alignment vertical="center"/>
      <protection locked="0"/>
    </xf>
    <xf numFmtId="0" fontId="92" fillId="16" borderId="25" xfId="0" applyFont="1" applyFill="1" applyBorder="1" applyAlignment="1" applyProtection="1">
      <alignment horizontal="right" vertical="center"/>
      <protection locked="0"/>
    </xf>
    <xf numFmtId="0" fontId="109" fillId="15" borderId="26" xfId="0" quotePrefix="1" applyFont="1" applyFill="1" applyBorder="1" applyAlignment="1" applyProtection="1">
      <alignment horizontal="center" vertical="center"/>
      <protection locked="0"/>
    </xf>
    <xf numFmtId="0" fontId="92" fillId="16" borderId="26" xfId="0" applyFont="1" applyFill="1" applyBorder="1" applyAlignment="1" applyProtection="1">
      <alignment horizontal="right" vertical="center"/>
      <protection locked="0"/>
    </xf>
    <xf numFmtId="0" fontId="63" fillId="15" borderId="26" xfId="0" applyFont="1" applyFill="1" applyBorder="1" applyAlignment="1" applyProtection="1">
      <alignment vertical="center"/>
      <protection locked="0"/>
    </xf>
    <xf numFmtId="0" fontId="92" fillId="15" borderId="27" xfId="0" applyFont="1" applyFill="1" applyBorder="1" applyAlignment="1" applyProtection="1">
      <alignment horizontal="right" vertical="center"/>
      <protection locked="0"/>
    </xf>
    <xf numFmtId="0" fontId="63" fillId="15" borderId="9" xfId="0" applyFont="1" applyFill="1" applyBorder="1" applyAlignment="1" applyProtection="1">
      <alignment vertical="center"/>
      <protection locked="0"/>
    </xf>
    <xf numFmtId="0" fontId="92" fillId="15" borderId="11" xfId="0" applyFont="1" applyFill="1" applyBorder="1" applyAlignment="1" applyProtection="1">
      <alignment horizontal="right" vertical="center"/>
      <protection locked="0"/>
    </xf>
    <xf numFmtId="0" fontId="63" fillId="15" borderId="16" xfId="0" applyFont="1" applyFill="1" applyBorder="1" applyAlignment="1" applyProtection="1">
      <alignment vertical="center"/>
      <protection locked="0"/>
    </xf>
    <xf numFmtId="0" fontId="63" fillId="15" borderId="18" xfId="0" applyFont="1" applyFill="1" applyBorder="1" applyAlignment="1" applyProtection="1">
      <alignment vertical="center"/>
      <protection locked="0"/>
    </xf>
    <xf numFmtId="0" fontId="63" fillId="15" borderId="0" xfId="0" quotePrefix="1" applyFont="1" applyFill="1" applyProtection="1">
      <protection locked="0"/>
    </xf>
    <xf numFmtId="0" fontId="62" fillId="15" borderId="27" xfId="0" applyFont="1" applyFill="1" applyBorder="1" applyAlignment="1" applyProtection="1">
      <alignment vertical="center"/>
      <protection locked="0"/>
    </xf>
    <xf numFmtId="0" fontId="63" fillId="15" borderId="16" xfId="0" applyFont="1" applyFill="1" applyBorder="1" applyProtection="1">
      <protection locked="0"/>
    </xf>
    <xf numFmtId="0" fontId="63" fillId="15" borderId="17" xfId="0" applyFont="1" applyFill="1" applyBorder="1" applyProtection="1">
      <protection locked="0"/>
    </xf>
    <xf numFmtId="0" fontId="63" fillId="15" borderId="18" xfId="0" applyFont="1" applyFill="1" applyBorder="1" applyProtection="1">
      <protection locked="0"/>
    </xf>
    <xf numFmtId="0" fontId="92" fillId="15" borderId="0" xfId="0" applyFont="1" applyFill="1" applyAlignment="1" applyProtection="1">
      <alignment horizontal="center"/>
      <protection locked="0"/>
    </xf>
    <xf numFmtId="0" fontId="63" fillId="15" borderId="0" xfId="0" applyFont="1" applyFill="1" applyAlignment="1" applyProtection="1">
      <alignment horizontal="center"/>
      <protection locked="0"/>
    </xf>
    <xf numFmtId="0" fontId="63" fillId="15" borderId="14" xfId="0" applyFont="1" applyFill="1" applyBorder="1" applyAlignment="1" applyProtection="1">
      <alignment horizontal="center"/>
      <protection locked="0"/>
    </xf>
    <xf numFmtId="0" fontId="102" fillId="15" borderId="13" xfId="0" applyFont="1" applyFill="1" applyBorder="1" applyAlignment="1" applyProtection="1">
      <alignment vertical="center"/>
      <protection locked="0"/>
    </xf>
    <xf numFmtId="0" fontId="62" fillId="15" borderId="0" xfId="0" applyFont="1" applyFill="1" applyProtection="1">
      <protection locked="0"/>
    </xf>
    <xf numFmtId="0" fontId="92" fillId="15" borderId="0" xfId="0" applyFont="1" applyFill="1" applyProtection="1">
      <protection locked="0"/>
    </xf>
    <xf numFmtId="0" fontId="62" fillId="0" borderId="0" xfId="0" applyFont="1" applyProtection="1">
      <protection locked="0"/>
    </xf>
    <xf numFmtId="0" fontId="63" fillId="16" borderId="4" xfId="0" applyFont="1" applyFill="1" applyBorder="1" applyAlignment="1" applyProtection="1">
      <alignment horizontal="center"/>
      <protection locked="0"/>
    </xf>
    <xf numFmtId="0" fontId="92" fillId="15" borderId="17" xfId="0" applyFont="1" applyFill="1" applyBorder="1" applyProtection="1">
      <protection locked="0"/>
    </xf>
    <xf numFmtId="0" fontId="95" fillId="0" borderId="0" xfId="6" applyProtection="1">
      <protection locked="0"/>
    </xf>
    <xf numFmtId="15" fontId="63" fillId="15" borderId="0" xfId="0" applyNumberFormat="1" applyFont="1" applyFill="1" applyProtection="1">
      <protection locked="0"/>
    </xf>
    <xf numFmtId="0" fontId="63" fillId="15" borderId="16" xfId="0" applyFont="1" applyFill="1" applyBorder="1" applyAlignment="1" applyProtection="1">
      <alignment horizontal="center"/>
      <protection locked="0"/>
    </xf>
    <xf numFmtId="0" fontId="63" fillId="15" borderId="17" xfId="0" applyFont="1" applyFill="1" applyBorder="1" applyAlignment="1" applyProtection="1">
      <alignment horizontal="center"/>
      <protection locked="0"/>
    </xf>
    <xf numFmtId="15" fontId="32" fillId="15" borderId="17" xfId="0" applyNumberFormat="1" applyFont="1" applyFill="1" applyBorder="1" applyProtection="1">
      <protection locked="0"/>
    </xf>
    <xf numFmtId="0" fontId="63" fillId="15" borderId="17" xfId="0" applyFont="1" applyFill="1" applyBorder="1" applyAlignment="1" applyProtection="1">
      <alignment horizontal="right"/>
      <protection locked="0"/>
    </xf>
    <xf numFmtId="15" fontId="32" fillId="15" borderId="17" xfId="0" quotePrefix="1" applyNumberFormat="1" applyFont="1" applyFill="1" applyBorder="1" applyProtection="1">
      <protection locked="0"/>
    </xf>
    <xf numFmtId="0" fontId="63" fillId="0" borderId="0" xfId="0" applyFont="1" applyAlignment="1" applyProtection="1">
      <alignment vertical="center"/>
      <protection locked="0"/>
    </xf>
    <xf numFmtId="0" fontId="68" fillId="0" borderId="0" xfId="0" applyFont="1" applyAlignment="1">
      <alignment horizontal="center"/>
    </xf>
    <xf numFmtId="167" fontId="68" fillId="0" borderId="0" xfId="0" applyNumberFormat="1" applyFont="1" applyAlignment="1">
      <alignment horizontal="center"/>
    </xf>
    <xf numFmtId="14" fontId="70" fillId="0" borderId="5" xfId="0" applyNumberFormat="1" applyFont="1" applyBorder="1" applyAlignment="1">
      <alignment horizontal="center" wrapText="1"/>
    </xf>
    <xf numFmtId="14" fontId="70" fillId="0" borderId="7" xfId="0" applyNumberFormat="1" applyFont="1" applyBorder="1" applyAlignment="1">
      <alignment horizontal="center" wrapText="1"/>
    </xf>
    <xf numFmtId="0" fontId="68" fillId="0" borderId="7" xfId="0" applyFont="1" applyBorder="1" applyAlignment="1">
      <alignment horizontal="center" wrapText="1"/>
    </xf>
    <xf numFmtId="9" fontId="68" fillId="0" borderId="8" xfId="2" applyFont="1" applyFill="1" applyBorder="1" applyAlignment="1">
      <alignment horizontal="center"/>
    </xf>
    <xf numFmtId="9" fontId="71" fillId="0" borderId="5" xfId="2" applyFont="1" applyFill="1" applyBorder="1" applyAlignment="1">
      <alignment horizontal="center"/>
    </xf>
    <xf numFmtId="0" fontId="39" fillId="0" borderId="0" xfId="0" applyFont="1" applyAlignment="1">
      <alignment horizontal="left"/>
    </xf>
    <xf numFmtId="0" fontId="120" fillId="0" borderId="0" xfId="0" applyFont="1" applyAlignment="1">
      <alignment horizontal="center"/>
    </xf>
    <xf numFmtId="0" fontId="40" fillId="0" borderId="0" xfId="0" applyFont="1" applyAlignment="1">
      <alignment wrapText="1"/>
    </xf>
    <xf numFmtId="167" fontId="40" fillId="0" borderId="0" xfId="0" applyNumberFormat="1" applyFont="1" applyAlignment="1">
      <alignment wrapText="1"/>
    </xf>
    <xf numFmtId="167" fontId="38" fillId="0" borderId="0" xfId="0" applyNumberFormat="1" applyFont="1" applyAlignment="1">
      <alignment wrapText="1"/>
    </xf>
    <xf numFmtId="167" fontId="38" fillId="0" borderId="31" xfId="0" applyNumberFormat="1" applyFont="1" applyBorder="1" applyAlignment="1">
      <alignment wrapText="1"/>
    </xf>
    <xf numFmtId="0" fontId="0" fillId="0" borderId="4" xfId="0" applyBorder="1"/>
    <xf numFmtId="0" fontId="68" fillId="0" borderId="0" xfId="0" applyFont="1" applyAlignment="1">
      <alignment horizontal="left" wrapText="1"/>
    </xf>
    <xf numFmtId="168" fontId="18" fillId="4" borderId="5" xfId="0" applyNumberFormat="1" applyFont="1" applyFill="1" applyBorder="1" applyAlignment="1">
      <alignment horizontal="right"/>
    </xf>
    <xf numFmtId="167" fontId="3" fillId="0" borderId="1" xfId="1" applyNumberFormat="1" applyFont="1" applyBorder="1"/>
    <xf numFmtId="15" fontId="128" fillId="0" borderId="5" xfId="3" applyNumberFormat="1" applyFont="1" applyBorder="1" applyAlignment="1">
      <alignment horizontal="center"/>
    </xf>
    <xf numFmtId="1" fontId="104" fillId="0" borderId="5" xfId="0" applyNumberFormat="1" applyFont="1" applyBorder="1" applyAlignment="1">
      <alignment horizontal="center"/>
    </xf>
    <xf numFmtId="0" fontId="128" fillId="0" borderId="5" xfId="3" applyFont="1" applyBorder="1" applyAlignment="1">
      <alignment horizontal="left"/>
    </xf>
    <xf numFmtId="0" fontId="128" fillId="0" borderId="5" xfId="0" applyFont="1" applyBorder="1" applyAlignment="1">
      <alignment horizontal="center"/>
    </xf>
    <xf numFmtId="167" fontId="128" fillId="0" borderId="5" xfId="3" applyNumberFormat="1" applyFont="1" applyBorder="1" applyAlignment="1">
      <alignment horizontal="center" wrapText="1"/>
    </xf>
    <xf numFmtId="167" fontId="128" fillId="0" borderId="5" xfId="3" applyNumberFormat="1" applyFont="1" applyBorder="1" applyAlignment="1">
      <alignment horizontal="center"/>
    </xf>
    <xf numFmtId="0" fontId="127" fillId="0" borderId="0" xfId="0" applyFont="1"/>
    <xf numFmtId="0" fontId="129" fillId="0" borderId="0" xfId="0" applyFont="1"/>
    <xf numFmtId="0" fontId="77" fillId="0" borderId="0" xfId="0" applyFont="1" applyAlignment="1">
      <alignment horizontal="center"/>
    </xf>
    <xf numFmtId="0" fontId="127" fillId="0" borderId="0" xfId="0" applyFont="1" applyAlignment="1">
      <alignment horizontal="center"/>
    </xf>
    <xf numFmtId="0" fontId="63" fillId="0" borderId="0" xfId="0" applyFont="1" applyAlignment="1">
      <alignment horizontal="left"/>
    </xf>
    <xf numFmtId="168" fontId="32" fillId="0" borderId="0" xfId="0" applyNumberFormat="1" applyFont="1"/>
    <xf numFmtId="0" fontId="32" fillId="0" borderId="0" xfId="0" applyFont="1" applyAlignment="1">
      <alignment horizontal="center"/>
    </xf>
    <xf numFmtId="0" fontId="64" fillId="0" borderId="0" xfId="0" applyFont="1" applyAlignment="1">
      <alignment horizontal="center"/>
    </xf>
    <xf numFmtId="0" fontId="67" fillId="0" borderId="0" xfId="0" applyFont="1" applyAlignment="1">
      <alignment horizontal="center"/>
    </xf>
    <xf numFmtId="0" fontId="109" fillId="0" borderId="0" xfId="0" applyFont="1" applyAlignment="1">
      <alignment horizontal="center"/>
    </xf>
    <xf numFmtId="0" fontId="130" fillId="0" borderId="0" xfId="0" applyFont="1" applyAlignment="1">
      <alignment horizontal="center"/>
    </xf>
    <xf numFmtId="0" fontId="131" fillId="0" borderId="0" xfId="0" applyFont="1" applyAlignment="1">
      <alignment horizontal="center"/>
    </xf>
    <xf numFmtId="0" fontId="67" fillId="0" borderId="0" xfId="0" applyFont="1" applyAlignment="1">
      <alignment horizontal="left"/>
    </xf>
    <xf numFmtId="0" fontId="75" fillId="0" borderId="0" xfId="0" applyFont="1"/>
    <xf numFmtId="0" fontId="132" fillId="0" borderId="0" xfId="0" applyFont="1"/>
    <xf numFmtId="0" fontId="64" fillId="0" borderId="0" xfId="0" applyFont="1" applyAlignment="1">
      <alignment horizontal="right"/>
    </xf>
    <xf numFmtId="17" fontId="77" fillId="0" borderId="0" xfId="0" quotePrefix="1" applyNumberFormat="1" applyFont="1"/>
    <xf numFmtId="0" fontId="32" fillId="0" borderId="0" xfId="0" applyFont="1" applyAlignment="1">
      <alignment horizontal="center" wrapText="1"/>
    </xf>
    <xf numFmtId="0" fontId="80" fillId="0" borderId="0" xfId="0" applyFont="1"/>
    <xf numFmtId="0" fontId="32" fillId="0" borderId="7" xfId="0" applyFont="1" applyBorder="1" applyAlignment="1">
      <alignment horizontal="center"/>
    </xf>
    <xf numFmtId="0" fontId="133" fillId="0" borderId="0" xfId="0" applyFont="1"/>
    <xf numFmtId="0" fontId="133" fillId="0" borderId="0" xfId="0" applyFont="1" applyAlignment="1">
      <alignment horizontal="center"/>
    </xf>
    <xf numFmtId="0" fontId="134" fillId="0" borderId="0" xfId="0" applyFont="1" applyAlignment="1">
      <alignment horizontal="center"/>
    </xf>
    <xf numFmtId="0" fontId="64" fillId="0" borderId="0" xfId="0" applyFont="1"/>
    <xf numFmtId="0" fontId="80" fillId="0" borderId="0" xfId="0" applyFont="1" applyAlignment="1">
      <alignment horizontal="left"/>
    </xf>
    <xf numFmtId="168" fontId="114" fillId="0" borderId="0" xfId="0" applyNumberFormat="1" applyFont="1"/>
    <xf numFmtId="0" fontId="66" fillId="0" borderId="0" xfId="0" applyFont="1"/>
    <xf numFmtId="168" fontId="32" fillId="0" borderId="12" xfId="0" applyNumberFormat="1" applyFont="1" applyBorder="1" applyAlignment="1">
      <alignment horizontal="right"/>
    </xf>
    <xf numFmtId="0" fontId="135" fillId="0" borderId="0" xfId="0" applyFont="1"/>
    <xf numFmtId="0" fontId="67" fillId="0" borderId="0" xfId="0" applyFont="1"/>
    <xf numFmtId="167" fontId="114" fillId="0" borderId="0" xfId="0" applyNumberFormat="1" applyFont="1"/>
    <xf numFmtId="167" fontId="114" fillId="0" borderId="0" xfId="0" applyNumberFormat="1" applyFont="1" applyAlignment="1">
      <alignment horizontal="center"/>
    </xf>
    <xf numFmtId="0" fontId="136" fillId="0" borderId="0" xfId="0" applyFont="1"/>
    <xf numFmtId="0" fontId="137" fillId="0" borderId="0" xfId="0" applyFont="1"/>
    <xf numFmtId="0" fontId="138" fillId="0" borderId="5" xfId="0" applyFont="1" applyBorder="1"/>
    <xf numFmtId="0" fontId="139" fillId="0" borderId="5" xfId="0" applyFont="1" applyBorder="1"/>
    <xf numFmtId="0" fontId="139" fillId="0" borderId="8" xfId="0" applyFont="1" applyBorder="1"/>
    <xf numFmtId="9" fontId="139" fillId="0" borderId="8" xfId="2" applyFont="1" applyFill="1" applyBorder="1" applyAlignment="1">
      <alignment horizontal="center"/>
    </xf>
    <xf numFmtId="0" fontId="140" fillId="0" borderId="5" xfId="0" applyFont="1" applyBorder="1"/>
    <xf numFmtId="0" fontId="142" fillId="0" borderId="5" xfId="0" applyFont="1" applyBorder="1"/>
    <xf numFmtId="0" fontId="137" fillId="0" borderId="0" xfId="0" applyFont="1" applyAlignment="1">
      <alignment wrapText="1"/>
    </xf>
    <xf numFmtId="167" fontId="138" fillId="0" borderId="5" xfId="0" applyNumberFormat="1" applyFont="1" applyBorder="1" applyAlignment="1">
      <alignment horizontal="right" wrapText="1"/>
    </xf>
    <xf numFmtId="167" fontId="139" fillId="0" borderId="5" xfId="0" applyNumberFormat="1" applyFont="1" applyBorder="1"/>
    <xf numFmtId="167" fontId="139" fillId="0" borderId="8" xfId="0" applyNumberFormat="1" applyFont="1" applyBorder="1"/>
    <xf numFmtId="167" fontId="140" fillId="0" borderId="5" xfId="0" applyNumberFormat="1" applyFont="1" applyBorder="1"/>
    <xf numFmtId="167" fontId="141" fillId="0" borderId="5" xfId="0" applyNumberFormat="1" applyFont="1" applyBorder="1"/>
    <xf numFmtId="167" fontId="142" fillId="0" borderId="5" xfId="0" applyNumberFormat="1" applyFont="1" applyBorder="1"/>
    <xf numFmtId="167" fontId="143" fillId="0" borderId="5" xfId="0" applyNumberFormat="1" applyFont="1" applyBorder="1"/>
    <xf numFmtId="9" fontId="139" fillId="0" borderId="5" xfId="2" applyFont="1" applyFill="1" applyBorder="1" applyAlignment="1">
      <alignment horizontal="center"/>
    </xf>
    <xf numFmtId="167" fontId="139" fillId="14" borderId="5" xfId="0" applyNumberFormat="1" applyFont="1" applyFill="1" applyBorder="1" applyAlignment="1">
      <alignment horizontal="right"/>
    </xf>
    <xf numFmtId="0" fontId="139" fillId="14" borderId="5" xfId="0" applyFont="1" applyFill="1" applyBorder="1"/>
    <xf numFmtId="167" fontId="138" fillId="0" borderId="5" xfId="0" applyNumberFormat="1" applyFont="1" applyBorder="1" applyAlignment="1">
      <alignment horizontal="right"/>
    </xf>
    <xf numFmtId="2" fontId="139" fillId="0" borderId="5" xfId="0" applyNumberFormat="1" applyFont="1" applyBorder="1"/>
    <xf numFmtId="167" fontId="139" fillId="14" borderId="5" xfId="0" applyNumberFormat="1" applyFont="1" applyFill="1" applyBorder="1"/>
    <xf numFmtId="0" fontId="104" fillId="0" borderId="5" xfId="0" applyFont="1" applyBorder="1"/>
    <xf numFmtId="167" fontId="146" fillId="0" borderId="5" xfId="0" applyNumberFormat="1" applyFont="1" applyBorder="1" applyAlignment="1">
      <alignment horizontal="right" wrapText="1"/>
    </xf>
    <xf numFmtId="167" fontId="147" fillId="0" borderId="5" xfId="2" applyNumberFormat="1" applyFont="1" applyFill="1" applyBorder="1" applyAlignment="1">
      <alignment horizontal="right"/>
    </xf>
    <xf numFmtId="9" fontId="147" fillId="0" borderId="5" xfId="2" applyFont="1" applyFill="1" applyBorder="1" applyAlignment="1">
      <alignment horizontal="center"/>
    </xf>
    <xf numFmtId="167" fontId="148" fillId="0" borderId="5" xfId="0" applyNumberFormat="1" applyFont="1" applyBorder="1"/>
    <xf numFmtId="167" fontId="146" fillId="0" borderId="5" xfId="0" applyNumberFormat="1" applyFont="1" applyBorder="1" applyAlignment="1">
      <alignment horizontal="right"/>
    </xf>
    <xf numFmtId="167" fontId="147" fillId="0" borderId="5" xfId="0" applyNumberFormat="1" applyFont="1" applyBorder="1" applyAlignment="1">
      <alignment horizontal="center"/>
    </xf>
    <xf numFmtId="167" fontId="140" fillId="0" borderId="5" xfId="0" applyNumberFormat="1" applyFont="1" applyBorder="1" applyAlignment="1">
      <alignment horizontal="center"/>
    </xf>
    <xf numFmtId="167" fontId="141" fillId="0" borderId="5" xfId="0" applyNumberFormat="1" applyFont="1" applyBorder="1" applyAlignment="1">
      <alignment horizontal="center"/>
    </xf>
    <xf numFmtId="167" fontId="148" fillId="0" borderId="5" xfId="0" applyNumberFormat="1" applyFont="1" applyBorder="1" applyAlignment="1">
      <alignment horizontal="center"/>
    </xf>
    <xf numFmtId="0" fontId="39" fillId="0" borderId="0" xfId="0" applyFont="1"/>
    <xf numFmtId="167" fontId="143" fillId="13" borderId="14" xfId="0" applyNumberFormat="1" applyFont="1" applyFill="1" applyBorder="1"/>
    <xf numFmtId="14" fontId="104" fillId="0" borderId="0" xfId="0" applyNumberFormat="1" applyFont="1"/>
    <xf numFmtId="0" fontId="104" fillId="0" borderId="0" xfId="0" applyFont="1"/>
    <xf numFmtId="0" fontId="104" fillId="0" borderId="0" xfId="0" applyFont="1" applyAlignment="1">
      <alignment wrapText="1"/>
    </xf>
    <xf numFmtId="14" fontId="39" fillId="0" borderId="0" xfId="0" applyNumberFormat="1" applyFont="1"/>
    <xf numFmtId="0" fontId="39" fillId="0" borderId="14" xfId="0" applyFont="1" applyBorder="1" applyAlignment="1">
      <alignment horizontal="center"/>
    </xf>
    <xf numFmtId="168" fontId="39" fillId="0" borderId="0" xfId="0" applyNumberFormat="1" applyFont="1"/>
    <xf numFmtId="167" fontId="104" fillId="0" borderId="0" xfId="0" applyNumberFormat="1" applyFont="1"/>
    <xf numFmtId="167" fontId="143" fillId="0" borderId="0" xfId="0" applyNumberFormat="1" applyFont="1"/>
    <xf numFmtId="167" fontId="39" fillId="0" borderId="14" xfId="0" applyNumberFormat="1" applyFont="1" applyBorder="1" applyAlignment="1">
      <alignment horizontal="center"/>
    </xf>
    <xf numFmtId="167" fontId="39" fillId="0" borderId="0" xfId="0" applyNumberFormat="1" applyFont="1"/>
    <xf numFmtId="0" fontId="104" fillId="0" borderId="14" xfId="0" applyFont="1" applyBorder="1"/>
    <xf numFmtId="0" fontId="149" fillId="0" borderId="0" xfId="0" applyFont="1"/>
    <xf numFmtId="0" fontId="149" fillId="0" borderId="14" xfId="0" applyFont="1" applyBorder="1"/>
    <xf numFmtId="167" fontId="150" fillId="0" borderId="14" xfId="0" applyNumberFormat="1" applyFont="1" applyBorder="1"/>
    <xf numFmtId="167" fontId="104" fillId="0" borderId="14" xfId="0" applyNumberFormat="1" applyFont="1" applyBorder="1"/>
    <xf numFmtId="167" fontId="151" fillId="0" borderId="15" xfId="0" applyNumberFormat="1" applyFont="1" applyBorder="1"/>
    <xf numFmtId="167" fontId="151" fillId="0" borderId="14" xfId="0" applyNumberFormat="1" applyFont="1" applyBorder="1"/>
    <xf numFmtId="167" fontId="39" fillId="0" borderId="14" xfId="0" applyNumberFormat="1" applyFont="1" applyBorder="1"/>
    <xf numFmtId="167" fontId="143" fillId="0" borderId="14" xfId="0" applyNumberFormat="1" applyFont="1" applyBorder="1"/>
    <xf numFmtId="0" fontId="39" fillId="0" borderId="17" xfId="0" applyFont="1" applyBorder="1" applyAlignment="1">
      <alignment horizontal="center"/>
    </xf>
    <xf numFmtId="167" fontId="150" fillId="0" borderId="28" xfId="0" applyNumberFormat="1" applyFont="1" applyBorder="1" applyAlignment="1">
      <alignment horizontal="center"/>
    </xf>
    <xf numFmtId="167" fontId="143" fillId="4" borderId="4" xfId="0" applyNumberFormat="1" applyFont="1" applyFill="1" applyBorder="1"/>
    <xf numFmtId="14" fontId="35" fillId="0" borderId="0" xfId="0" applyNumberFormat="1" applyFont="1" applyAlignment="1">
      <alignment wrapText="1"/>
    </xf>
    <xf numFmtId="167" fontId="145" fillId="0" borderId="8" xfId="0" applyNumberFormat="1" applyFont="1" applyBorder="1"/>
    <xf numFmtId="167" fontId="145" fillId="0" borderId="8" xfId="0" applyNumberFormat="1" applyFont="1" applyBorder="1" applyAlignment="1">
      <alignment wrapText="1"/>
    </xf>
    <xf numFmtId="0" fontId="148" fillId="0" borderId="5" xfId="0" applyFont="1" applyBorder="1"/>
    <xf numFmtId="0" fontId="39" fillId="0" borderId="13" xfId="0" applyFont="1" applyBorder="1"/>
    <xf numFmtId="0" fontId="152" fillId="0" borderId="13" xfId="0" applyFont="1" applyBorder="1" applyAlignment="1">
      <alignment horizontal="left"/>
    </xf>
    <xf numFmtId="0" fontId="39" fillId="0" borderId="13" xfId="0" applyFont="1" applyBorder="1" applyAlignment="1">
      <alignment horizontal="left"/>
    </xf>
    <xf numFmtId="0" fontId="104" fillId="0" borderId="13" xfId="0" applyFont="1" applyBorder="1"/>
    <xf numFmtId="0" fontId="149" fillId="0" borderId="13" xfId="0" applyFont="1" applyBorder="1"/>
    <xf numFmtId="0" fontId="149" fillId="0" borderId="0" xfId="0" applyFont="1" applyAlignment="1">
      <alignment horizontal="left" wrapText="1"/>
    </xf>
    <xf numFmtId="0" fontId="149" fillId="0" borderId="0" xfId="0" applyFont="1" applyAlignment="1">
      <alignment wrapText="1"/>
    </xf>
    <xf numFmtId="14" fontId="149" fillId="0" borderId="0" xfId="0" applyNumberFormat="1" applyFont="1" applyAlignment="1">
      <alignment horizontal="left" wrapText="1"/>
    </xf>
    <xf numFmtId="0" fontId="150" fillId="0" borderId="5" xfId="0" applyFont="1" applyBorder="1" applyAlignment="1">
      <alignment horizontal="center" wrapText="1"/>
    </xf>
    <xf numFmtId="167" fontId="39" fillId="0" borderId="12" xfId="0" applyNumberFormat="1" applyFont="1" applyBorder="1" applyAlignment="1">
      <alignment wrapText="1"/>
    </xf>
    <xf numFmtId="0" fontId="39" fillId="0" borderId="12" xfId="0" applyFont="1" applyBorder="1" applyAlignment="1">
      <alignment wrapText="1"/>
    </xf>
    <xf numFmtId="1" fontId="39" fillId="0" borderId="12" xfId="0" applyNumberFormat="1" applyFont="1" applyBorder="1" applyAlignment="1">
      <alignment wrapText="1"/>
    </xf>
    <xf numFmtId="1" fontId="150" fillId="0" borderId="19" xfId="0" applyNumberFormat="1" applyFont="1" applyBorder="1" applyAlignment="1">
      <alignment wrapText="1"/>
    </xf>
    <xf numFmtId="0" fontId="148" fillId="0" borderId="0" xfId="0" applyFont="1"/>
    <xf numFmtId="0" fontId="143" fillId="0" borderId="0" xfId="0" applyFont="1"/>
    <xf numFmtId="0" fontId="148" fillId="23" borderId="1" xfId="0" applyFont="1" applyFill="1" applyBorder="1"/>
    <xf numFmtId="0" fontId="150" fillId="23" borderId="1" xfId="0" applyFont="1" applyFill="1" applyBorder="1"/>
    <xf numFmtId="0" fontId="142" fillId="0" borderId="0" xfId="0" applyFont="1" applyAlignment="1">
      <alignment horizontal="center"/>
    </xf>
    <xf numFmtId="0" fontId="69" fillId="0" borderId="0" xfId="0" applyFont="1" applyAlignment="1">
      <alignment horizontal="center"/>
    </xf>
    <xf numFmtId="0" fontId="68" fillId="0" borderId="0" xfId="0" applyFont="1"/>
    <xf numFmtId="167" fontId="141" fillId="0" borderId="0" xfId="0" applyNumberFormat="1" applyFont="1"/>
    <xf numFmtId="0" fontId="142" fillId="0" borderId="0" xfId="0" applyFont="1"/>
    <xf numFmtId="0" fontId="72" fillId="0" borderId="0" xfId="0" applyFont="1"/>
    <xf numFmtId="167" fontId="142" fillId="0" borderId="0" xfId="0" applyNumberFormat="1" applyFont="1"/>
    <xf numFmtId="167" fontId="141" fillId="0" borderId="1" xfId="0" applyNumberFormat="1" applyFont="1" applyBorder="1"/>
    <xf numFmtId="167" fontId="68" fillId="0" borderId="1" xfId="0" applyNumberFormat="1" applyFont="1" applyBorder="1" applyAlignment="1">
      <alignment horizontal="center"/>
    </xf>
    <xf numFmtId="0" fontId="28" fillId="0" borderId="4" xfId="0" applyFont="1" applyBorder="1"/>
    <xf numFmtId="0" fontId="153" fillId="0" borderId="0" xfId="0" applyFont="1" applyAlignment="1">
      <alignment horizontal="center" wrapText="1"/>
    </xf>
    <xf numFmtId="0" fontId="153" fillId="0" borderId="5" xfId="0" applyFont="1" applyBorder="1" applyAlignment="1">
      <alignment horizontal="center" wrapText="1"/>
    </xf>
    <xf numFmtId="0" fontId="154" fillId="0" borderId="5" xfId="0" applyFont="1" applyBorder="1"/>
    <xf numFmtId="167" fontId="154" fillId="0" borderId="5" xfId="0" applyNumberFormat="1" applyFont="1" applyBorder="1"/>
    <xf numFmtId="167" fontId="154" fillId="0" borderId="5" xfId="0" applyNumberFormat="1" applyFont="1" applyBorder="1" applyAlignment="1">
      <alignment horizontal="center"/>
    </xf>
    <xf numFmtId="0" fontId="155" fillId="0" borderId="0" xfId="0" applyFont="1"/>
    <xf numFmtId="168" fontId="18" fillId="4" borderId="8" xfId="0" applyNumberFormat="1" applyFont="1" applyFill="1" applyBorder="1" applyAlignment="1">
      <alignment horizontal="right"/>
    </xf>
    <xf numFmtId="0" fontId="156" fillId="0" borderId="5" xfId="3" applyFont="1" applyBorder="1" applyAlignment="1">
      <alignment horizontal="left"/>
    </xf>
    <xf numFmtId="0" fontId="156" fillId="0" borderId="5" xfId="0" applyFont="1" applyBorder="1" applyAlignment="1">
      <alignment horizontal="center"/>
    </xf>
    <xf numFmtId="167" fontId="156" fillId="0" borderId="5" xfId="3" applyNumberFormat="1" applyFont="1" applyBorder="1" applyAlignment="1">
      <alignment horizontal="center" wrapText="1"/>
    </xf>
    <xf numFmtId="167" fontId="154" fillId="4" borderId="5" xfId="0" applyNumberFormat="1" applyFont="1" applyFill="1" applyBorder="1"/>
    <xf numFmtId="0" fontId="157" fillId="0" borderId="0" xfId="3" applyFont="1" applyBorder="1" applyAlignment="1">
      <alignment horizontal="left"/>
    </xf>
    <xf numFmtId="0" fontId="113" fillId="0" borderId="0" xfId="3" applyFont="1" applyAlignment="1">
      <alignment horizontal="center"/>
    </xf>
    <xf numFmtId="0" fontId="114" fillId="0" borderId="0" xfId="0" applyFont="1" applyAlignment="1">
      <alignment horizontal="center"/>
    </xf>
    <xf numFmtId="0" fontId="113" fillId="5" borderId="0" xfId="3" applyFont="1" applyFill="1" applyAlignment="1">
      <alignment horizontal="center"/>
    </xf>
    <xf numFmtId="15" fontId="157" fillId="5" borderId="21" xfId="3" applyNumberFormat="1" applyFont="1" applyFill="1" applyBorder="1" applyAlignment="1">
      <alignment horizontal="center"/>
    </xf>
    <xf numFmtId="0" fontId="157" fillId="5" borderId="21" xfId="3" applyNumberFormat="1" applyFont="1" applyFill="1" applyBorder="1" applyAlignment="1">
      <alignment horizontal="center"/>
    </xf>
    <xf numFmtId="0" fontId="157" fillId="5" borderId="23" xfId="3" applyFont="1" applyFill="1" applyBorder="1" applyAlignment="1">
      <alignment horizontal="center"/>
    </xf>
    <xf numFmtId="0" fontId="113" fillId="0" borderId="5" xfId="0" applyFont="1" applyBorder="1" applyAlignment="1">
      <alignment horizontal="center"/>
    </xf>
    <xf numFmtId="1" fontId="157" fillId="5" borderId="22" xfId="3" applyNumberFormat="1" applyFont="1" applyFill="1" applyBorder="1" applyAlignment="1">
      <alignment horizontal="center" wrapText="1"/>
    </xf>
    <xf numFmtId="4" fontId="157" fillId="0" borderId="21" xfId="3" applyNumberFormat="1" applyFont="1" applyBorder="1" applyAlignment="1">
      <alignment horizontal="center"/>
    </xf>
    <xf numFmtId="15" fontId="113" fillId="0" borderId="5" xfId="3" applyNumberFormat="1" applyFont="1" applyBorder="1" applyAlignment="1">
      <alignment horizontal="center"/>
    </xf>
    <xf numFmtId="1" fontId="62" fillId="0" borderId="5" xfId="0" applyNumberFormat="1" applyFont="1" applyBorder="1" applyAlignment="1">
      <alignment horizontal="center"/>
    </xf>
    <xf numFmtId="0" fontId="113" fillId="0" borderId="5" xfId="3" applyFont="1" applyBorder="1" applyAlignment="1">
      <alignment horizontal="left"/>
    </xf>
    <xf numFmtId="16" fontId="113" fillId="0" borderId="5" xfId="0" applyNumberFormat="1" applyFont="1" applyBorder="1" applyAlignment="1">
      <alignment horizontal="center"/>
    </xf>
    <xf numFmtId="167" fontId="113" fillId="0" borderId="5" xfId="3" applyNumberFormat="1" applyFont="1" applyBorder="1" applyAlignment="1">
      <alignment horizontal="center" wrapText="1"/>
    </xf>
    <xf numFmtId="167" fontId="113" fillId="0" borderId="5" xfId="3" applyNumberFormat="1" applyFont="1" applyBorder="1" applyAlignment="1">
      <alignment horizontal="center"/>
    </xf>
    <xf numFmtId="4" fontId="113" fillId="0" borderId="5" xfId="3" applyNumberFormat="1" applyFont="1" applyBorder="1" applyAlignment="1">
      <alignment horizontal="center"/>
    </xf>
    <xf numFmtId="167" fontId="113" fillId="4" borderId="5" xfId="3" applyNumberFormat="1" applyFont="1" applyFill="1" applyBorder="1" applyAlignment="1">
      <alignment horizontal="center"/>
    </xf>
    <xf numFmtId="4" fontId="113" fillId="0" borderId="0" xfId="3" applyNumberFormat="1" applyFont="1" applyBorder="1" applyAlignment="1">
      <alignment horizontal="center"/>
    </xf>
    <xf numFmtId="167" fontId="113" fillId="13" borderId="5" xfId="3" applyNumberFormat="1" applyFont="1" applyFill="1" applyBorder="1" applyAlignment="1">
      <alignment horizontal="center" wrapText="1"/>
    </xf>
    <xf numFmtId="167" fontId="113" fillId="0" borderId="5" xfId="1" applyNumberFormat="1" applyFont="1" applyFill="1" applyBorder="1" applyAlignment="1">
      <alignment horizontal="center"/>
    </xf>
    <xf numFmtId="167" fontId="113" fillId="0" borderId="8" xfId="3" applyNumberFormat="1" applyFont="1" applyBorder="1" applyAlignment="1">
      <alignment horizontal="right"/>
    </xf>
    <xf numFmtId="167" fontId="113" fillId="0" borderId="5" xfId="3" applyNumberFormat="1" applyFont="1" applyBorder="1" applyAlignment="1">
      <alignment horizontal="right"/>
    </xf>
    <xf numFmtId="15" fontId="157" fillId="0" borderId="0" xfId="3" applyNumberFormat="1" applyFont="1" applyBorder="1" applyAlignment="1">
      <alignment horizontal="center"/>
    </xf>
    <xf numFmtId="0" fontId="157" fillId="0" borderId="0" xfId="3" applyNumberFormat="1" applyFont="1" applyBorder="1" applyAlignment="1">
      <alignment horizontal="center"/>
    </xf>
    <xf numFmtId="0" fontId="157" fillId="0" borderId="24" xfId="3" applyFont="1" applyBorder="1" applyAlignment="1">
      <alignment horizontal="left"/>
    </xf>
    <xf numFmtId="166" fontId="157" fillId="0" borderId="24" xfId="3" applyNumberFormat="1" applyFont="1" applyBorder="1" applyAlignment="1">
      <alignment horizontal="right"/>
    </xf>
    <xf numFmtId="166" fontId="157" fillId="0" borderId="0" xfId="3" applyNumberFormat="1" applyFont="1" applyAlignment="1">
      <alignment horizontal="center"/>
    </xf>
    <xf numFmtId="166" fontId="113" fillId="5" borderId="0" xfId="3" applyNumberFormat="1" applyFont="1" applyFill="1" applyAlignment="1">
      <alignment horizontal="center"/>
    </xf>
    <xf numFmtId="166" fontId="113" fillId="5" borderId="0" xfId="4" applyNumberFormat="1" applyFont="1" applyFill="1" applyAlignment="1">
      <alignment horizontal="center"/>
    </xf>
    <xf numFmtId="166" fontId="113" fillId="0" borderId="0" xfId="4" applyNumberFormat="1" applyFont="1" applyFill="1" applyAlignment="1">
      <alignment horizontal="center"/>
    </xf>
    <xf numFmtId="4" fontId="158" fillId="0" borderId="21" xfId="3" applyNumberFormat="1" applyFont="1" applyBorder="1" applyAlignment="1">
      <alignment horizontal="center"/>
    </xf>
    <xf numFmtId="166" fontId="157" fillId="5" borderId="22" xfId="3" applyNumberFormat="1" applyFont="1" applyFill="1" applyBorder="1" applyAlignment="1">
      <alignment horizontal="center"/>
    </xf>
    <xf numFmtId="0" fontId="157" fillId="5" borderId="7" xfId="3" applyFont="1" applyFill="1" applyBorder="1" applyAlignment="1">
      <alignment horizontal="center"/>
    </xf>
    <xf numFmtId="0" fontId="157" fillId="5" borderId="5" xfId="3" applyFont="1" applyFill="1" applyBorder="1" applyAlignment="1">
      <alignment horizontal="center" wrapText="1"/>
    </xf>
    <xf numFmtId="166" fontId="157" fillId="5" borderId="21" xfId="3" applyNumberFormat="1" applyFont="1" applyFill="1" applyBorder="1" applyAlignment="1">
      <alignment horizontal="center" wrapText="1"/>
    </xf>
    <xf numFmtId="166" fontId="157" fillId="5" borderId="21" xfId="3" applyNumberFormat="1" applyFont="1" applyFill="1" applyBorder="1" applyAlignment="1">
      <alignment horizontal="center"/>
    </xf>
    <xf numFmtId="166" fontId="157" fillId="5" borderId="23" xfId="3" applyNumberFormat="1" applyFont="1" applyFill="1" applyBorder="1" applyAlignment="1">
      <alignment horizontal="center"/>
    </xf>
    <xf numFmtId="0" fontId="157" fillId="5" borderId="7" xfId="3" applyFont="1" applyFill="1" applyBorder="1" applyAlignment="1">
      <alignment horizontal="center" wrapText="1"/>
    </xf>
    <xf numFmtId="166" fontId="157" fillId="5" borderId="22" xfId="3" applyNumberFormat="1" applyFont="1" applyFill="1" applyBorder="1" applyAlignment="1">
      <alignment horizontal="center" wrapText="1"/>
    </xf>
    <xf numFmtId="166" fontId="157" fillId="5" borderId="21" xfId="4" applyNumberFormat="1" applyFont="1" applyFill="1" applyBorder="1" applyAlignment="1">
      <alignment horizontal="center" wrapText="1"/>
    </xf>
    <xf numFmtId="166" fontId="157" fillId="5" borderId="23" xfId="4" applyNumberFormat="1" applyFont="1" applyFill="1" applyBorder="1" applyAlignment="1">
      <alignment horizontal="center" wrapText="1"/>
    </xf>
    <xf numFmtId="166" fontId="157" fillId="5" borderId="5" xfId="4" applyNumberFormat="1" applyFont="1" applyFill="1" applyBorder="1" applyAlignment="1">
      <alignment horizontal="center" wrapText="1"/>
    </xf>
    <xf numFmtId="166" fontId="157" fillId="0" borderId="5" xfId="4" applyNumberFormat="1" applyFont="1" applyFill="1" applyBorder="1" applyAlignment="1">
      <alignment horizontal="center" wrapText="1"/>
    </xf>
    <xf numFmtId="166" fontId="157" fillId="5" borderId="20" xfId="4" applyNumberFormat="1" applyFont="1" applyFill="1" applyBorder="1" applyAlignment="1">
      <alignment horizontal="center" wrapText="1"/>
    </xf>
    <xf numFmtId="0" fontId="157" fillId="5" borderId="20" xfId="3" applyFont="1" applyFill="1" applyBorder="1" applyAlignment="1">
      <alignment horizontal="left" wrapText="1"/>
    </xf>
    <xf numFmtId="166" fontId="113" fillId="0" borderId="5" xfId="3" applyNumberFormat="1" applyFont="1" applyBorder="1" applyAlignment="1">
      <alignment horizontal="right"/>
    </xf>
    <xf numFmtId="0" fontId="113" fillId="0" borderId="5" xfId="3" applyFont="1" applyBorder="1" applyAlignment="1">
      <alignment horizontal="right"/>
    </xf>
    <xf numFmtId="0" fontId="113" fillId="0" borderId="5" xfId="3" applyFont="1" applyBorder="1" applyAlignment="1">
      <alignment horizontal="right" wrapText="1"/>
    </xf>
    <xf numFmtId="166" fontId="113" fillId="0" borderId="5" xfId="4" applyNumberFormat="1" applyFont="1" applyFill="1" applyBorder="1" applyAlignment="1">
      <alignment horizontal="right" wrapText="1"/>
    </xf>
    <xf numFmtId="166" fontId="113" fillId="0" borderId="6" xfId="4" applyNumberFormat="1" applyFont="1" applyFill="1" applyBorder="1" applyAlignment="1">
      <alignment horizontal="right" wrapText="1"/>
    </xf>
    <xf numFmtId="166" fontId="113" fillId="0" borderId="20" xfId="4" applyNumberFormat="1" applyFont="1" applyFill="1" applyBorder="1" applyAlignment="1">
      <alignment horizontal="right" wrapText="1"/>
    </xf>
    <xf numFmtId="0" fontId="113" fillId="0" borderId="20" xfId="3" applyFont="1" applyBorder="1" applyAlignment="1">
      <alignment horizontal="left"/>
    </xf>
    <xf numFmtId="166" fontId="113" fillId="0" borderId="5" xfId="4" applyNumberFormat="1" applyFont="1" applyFill="1" applyBorder="1" applyAlignment="1">
      <alignment horizontal="right"/>
    </xf>
    <xf numFmtId="166" fontId="113" fillId="0" borderId="6" xfId="4" applyNumberFormat="1" applyFont="1" applyFill="1" applyBorder="1" applyAlignment="1">
      <alignment horizontal="right"/>
    </xf>
    <xf numFmtId="166" fontId="113" fillId="0" borderId="20" xfId="4" applyNumberFormat="1" applyFont="1" applyFill="1" applyBorder="1" applyAlignment="1">
      <alignment horizontal="right"/>
    </xf>
    <xf numFmtId="0" fontId="157" fillId="5" borderId="20" xfId="3" applyFont="1" applyFill="1" applyBorder="1" applyAlignment="1">
      <alignment horizontal="left"/>
    </xf>
    <xf numFmtId="4" fontId="157" fillId="0" borderId="5" xfId="3" applyNumberFormat="1" applyFont="1" applyBorder="1" applyAlignment="1">
      <alignment horizontal="center"/>
    </xf>
    <xf numFmtId="166" fontId="157" fillId="22" borderId="24" xfId="3" applyNumberFormat="1" applyFont="1" applyFill="1" applyBorder="1" applyAlignment="1">
      <alignment horizontal="right"/>
    </xf>
    <xf numFmtId="166" fontId="157" fillId="13" borderId="24" xfId="3" applyNumberFormat="1" applyFont="1" applyFill="1" applyBorder="1" applyAlignment="1">
      <alignment horizontal="right"/>
    </xf>
    <xf numFmtId="166" fontId="157" fillId="21" borderId="24" xfId="3" applyNumberFormat="1" applyFont="1" applyFill="1" applyBorder="1" applyAlignment="1">
      <alignment horizontal="right"/>
    </xf>
    <xf numFmtId="166" fontId="157" fillId="10" borderId="24" xfId="3" applyNumberFormat="1" applyFont="1" applyFill="1" applyBorder="1" applyAlignment="1">
      <alignment horizontal="right"/>
    </xf>
    <xf numFmtId="166" fontId="113" fillId="0" borderId="0" xfId="3" applyNumberFormat="1" applyFont="1" applyBorder="1" applyAlignment="1">
      <alignment horizontal="right"/>
    </xf>
    <xf numFmtId="166" fontId="64" fillId="0" borderId="0" xfId="4" applyNumberFormat="1" applyFont="1" applyFill="1" applyBorder="1" applyAlignment="1">
      <alignment horizontal="right"/>
    </xf>
    <xf numFmtId="166" fontId="63" fillId="13" borderId="0" xfId="4" applyNumberFormat="1" applyFont="1" applyFill="1" applyBorder="1" applyAlignment="1">
      <alignment horizontal="right"/>
    </xf>
    <xf numFmtId="166" fontId="113" fillId="13" borderId="0" xfId="4" applyNumberFormat="1" applyFont="1" applyFill="1" applyBorder="1" applyAlignment="1">
      <alignment horizontal="right"/>
    </xf>
    <xf numFmtId="166" fontId="157" fillId="0" borderId="0" xfId="3" applyNumberFormat="1" applyFont="1" applyBorder="1" applyAlignment="1">
      <alignment horizontal="right"/>
    </xf>
    <xf numFmtId="166" fontId="157" fillId="0" borderId="0" xfId="3" applyNumberFormat="1" applyFont="1" applyAlignment="1">
      <alignment horizontal="left"/>
    </xf>
    <xf numFmtId="166" fontId="113" fillId="0" borderId="0" xfId="4" applyNumberFormat="1" applyFont="1" applyFill="1" applyBorder="1" applyAlignment="1">
      <alignment horizontal="right"/>
    </xf>
    <xf numFmtId="166" fontId="113" fillId="19" borderId="0" xfId="3" applyNumberFormat="1" applyFont="1" applyFill="1" applyBorder="1" applyAlignment="1">
      <alignment horizontal="right"/>
    </xf>
    <xf numFmtId="166" fontId="157" fillId="0" borderId="1" xfId="3" applyNumberFormat="1" applyFont="1" applyBorder="1" applyAlignment="1">
      <alignment horizontal="left"/>
    </xf>
    <xf numFmtId="166" fontId="157" fillId="0" borderId="0" xfId="3" applyNumberFormat="1" applyFont="1" applyBorder="1" applyAlignment="1">
      <alignment horizontal="left"/>
    </xf>
    <xf numFmtId="166" fontId="113" fillId="0" borderId="0" xfId="3" applyNumberFormat="1" applyFont="1" applyBorder="1" applyAlignment="1">
      <alignment horizontal="left"/>
    </xf>
    <xf numFmtId="166" fontId="113" fillId="0" borderId="0" xfId="4" applyNumberFormat="1" applyFont="1" applyBorder="1" applyAlignment="1">
      <alignment horizontal="right"/>
    </xf>
    <xf numFmtId="166" fontId="113" fillId="20" borderId="0" xfId="3" applyNumberFormat="1" applyFont="1" applyFill="1" applyBorder="1" applyAlignment="1">
      <alignment horizontal="right"/>
    </xf>
    <xf numFmtId="0" fontId="77" fillId="20" borderId="0" xfId="0" applyFont="1" applyFill="1" applyAlignment="1">
      <alignment horizontal="right"/>
    </xf>
    <xf numFmtId="0" fontId="77" fillId="20" borderId="0" xfId="0" applyFont="1" applyFill="1"/>
    <xf numFmtId="166" fontId="113" fillId="20" borderId="0" xfId="3" applyNumberFormat="1" applyFont="1" applyFill="1" applyAlignment="1">
      <alignment horizontal="center"/>
    </xf>
    <xf numFmtId="166" fontId="157" fillId="20" borderId="0" xfId="3" applyNumberFormat="1" applyFont="1" applyFill="1" applyAlignment="1">
      <alignment horizontal="center"/>
    </xf>
    <xf numFmtId="0" fontId="113" fillId="20" borderId="0" xfId="3" applyFont="1" applyFill="1" applyAlignment="1">
      <alignment horizontal="center"/>
    </xf>
    <xf numFmtId="166" fontId="113" fillId="0" borderId="0" xfId="3" applyNumberFormat="1" applyFont="1" applyAlignment="1">
      <alignment horizontal="center"/>
    </xf>
    <xf numFmtId="166" fontId="113" fillId="0" borderId="0" xfId="4" applyNumberFormat="1" applyFont="1" applyAlignment="1">
      <alignment horizontal="center"/>
    </xf>
    <xf numFmtId="166" fontId="113" fillId="20" borderId="0" xfId="3" applyNumberFormat="1" applyFont="1" applyFill="1" applyAlignment="1">
      <alignment horizontal="right"/>
    </xf>
    <xf numFmtId="166" fontId="77" fillId="20" borderId="0" xfId="0" applyNumberFormat="1" applyFont="1" applyFill="1"/>
    <xf numFmtId="166" fontId="77" fillId="0" borderId="0" xfId="0" applyNumberFormat="1" applyFont="1"/>
    <xf numFmtId="0" fontId="66" fillId="0" borderId="3" xfId="0" applyFont="1" applyBorder="1"/>
    <xf numFmtId="0" fontId="157" fillId="0" borderId="0" xfId="3" applyNumberFormat="1" applyFont="1" applyBorder="1" applyAlignment="1">
      <alignment horizontal="left"/>
    </xf>
    <xf numFmtId="166" fontId="113" fillId="0" borderId="1" xfId="3" applyNumberFormat="1" applyFont="1" applyBorder="1" applyAlignment="1">
      <alignment horizontal="center"/>
    </xf>
    <xf numFmtId="0" fontId="157" fillId="0" borderId="13" xfId="3" applyFont="1" applyBorder="1" applyAlignment="1">
      <alignment horizontal="left"/>
    </xf>
    <xf numFmtId="0" fontId="113" fillId="0" borderId="0" xfId="3" applyFont="1" applyBorder="1" applyAlignment="1">
      <alignment horizontal="center"/>
    </xf>
    <xf numFmtId="0" fontId="113" fillId="0" borderId="13" xfId="3" applyFont="1" applyBorder="1" applyAlignment="1">
      <alignment horizontal="left"/>
    </xf>
    <xf numFmtId="0" fontId="113" fillId="0" borderId="0" xfId="3" applyNumberFormat="1" applyFont="1" applyBorder="1" applyAlignment="1">
      <alignment horizontal="left"/>
    </xf>
    <xf numFmtId="166" fontId="113" fillId="0" borderId="0" xfId="3" applyNumberFormat="1" applyFont="1" applyBorder="1" applyAlignment="1">
      <alignment horizontal="center"/>
    </xf>
    <xf numFmtId="166" fontId="62" fillId="0" borderId="0" xfId="0" applyNumberFormat="1" applyFont="1"/>
    <xf numFmtId="166" fontId="62" fillId="22" borderId="0" xfId="0" applyNumberFormat="1" applyFont="1" applyFill="1"/>
    <xf numFmtId="166" fontId="62" fillId="21" borderId="0" xfId="0" applyNumberFormat="1" applyFont="1" applyFill="1"/>
    <xf numFmtId="166" fontId="113" fillId="13" borderId="1" xfId="3" applyNumberFormat="1" applyFont="1" applyFill="1" applyBorder="1" applyAlignment="1">
      <alignment horizontal="center"/>
    </xf>
    <xf numFmtId="4" fontId="159" fillId="0" borderId="0" xfId="3" applyNumberFormat="1" applyFont="1" applyBorder="1" applyAlignment="1">
      <alignment horizontal="center"/>
    </xf>
    <xf numFmtId="4" fontId="157" fillId="0" borderId="29" xfId="3" applyNumberFormat="1" applyFont="1" applyBorder="1" applyAlignment="1">
      <alignment horizontal="center"/>
    </xf>
    <xf numFmtId="167" fontId="77" fillId="0" borderId="0" xfId="5" applyNumberFormat="1" applyFont="1"/>
    <xf numFmtId="167" fontId="77" fillId="0" borderId="1" xfId="5" applyNumberFormat="1" applyFont="1" applyBorder="1"/>
    <xf numFmtId="2" fontId="77" fillId="0" borderId="1" xfId="0" applyNumberFormat="1" applyFont="1" applyBorder="1"/>
    <xf numFmtId="0" fontId="77" fillId="0" borderId="1" xfId="0" applyFont="1" applyBorder="1"/>
    <xf numFmtId="167" fontId="114" fillId="0" borderId="1" xfId="5" applyNumberFormat="1" applyFont="1" applyBorder="1"/>
    <xf numFmtId="167" fontId="160" fillId="0" borderId="0" xfId="0" applyNumberFormat="1" applyFont="1"/>
    <xf numFmtId="167" fontId="161" fillId="0" borderId="0" xfId="0" applyNumberFormat="1" applyFont="1"/>
    <xf numFmtId="167" fontId="161" fillId="0" borderId="1" xfId="0" applyNumberFormat="1" applyFont="1" applyBorder="1"/>
    <xf numFmtId="167" fontId="142" fillId="4" borderId="5" xfId="0" applyNumberFormat="1" applyFont="1" applyFill="1" applyBorder="1"/>
    <xf numFmtId="167" fontId="142" fillId="25" borderId="5" xfId="0" applyNumberFormat="1" applyFont="1" applyFill="1" applyBorder="1"/>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92" fillId="15" borderId="17" xfId="0" applyFont="1" applyFill="1" applyBorder="1" applyAlignment="1" applyProtection="1">
      <alignment horizontal="center"/>
      <protection locked="0"/>
    </xf>
    <xf numFmtId="0" fontId="92" fillId="15" borderId="18" xfId="0" applyFont="1" applyFill="1" applyBorder="1" applyAlignment="1" applyProtection="1">
      <alignment horizontal="center"/>
      <protection locked="0"/>
    </xf>
    <xf numFmtId="0" fontId="103" fillId="17" borderId="25" xfId="0" quotePrefix="1" applyFont="1" applyFill="1" applyBorder="1" applyAlignment="1" applyProtection="1">
      <alignment horizontal="center" vertical="center"/>
      <protection locked="0"/>
    </xf>
    <xf numFmtId="0" fontId="103" fillId="17" borderId="26" xfId="0" quotePrefix="1" applyFont="1" applyFill="1" applyBorder="1" applyAlignment="1" applyProtection="1">
      <alignment horizontal="center" vertical="center"/>
      <protection locked="0"/>
    </xf>
    <xf numFmtId="0" fontId="103" fillId="17" borderId="27" xfId="0" quotePrefix="1" applyFont="1" applyFill="1" applyBorder="1" applyAlignment="1" applyProtection="1">
      <alignment horizontal="center" vertical="center"/>
      <protection locked="0"/>
    </xf>
    <xf numFmtId="2" fontId="103" fillId="17" borderId="25" xfId="0" applyNumberFormat="1" applyFont="1" applyFill="1" applyBorder="1" applyAlignment="1" applyProtection="1">
      <alignment horizontal="center" vertical="center"/>
      <protection locked="0"/>
    </xf>
    <xf numFmtId="2" fontId="103" fillId="17" borderId="26" xfId="0" applyNumberFormat="1" applyFont="1" applyFill="1" applyBorder="1" applyAlignment="1" applyProtection="1">
      <alignment horizontal="center" vertical="center"/>
      <protection locked="0"/>
    </xf>
    <xf numFmtId="2" fontId="103" fillId="17" borderId="27" xfId="0" applyNumberFormat="1" applyFont="1" applyFill="1" applyBorder="1" applyAlignment="1" applyProtection="1">
      <alignment horizontal="center" vertical="center"/>
      <protection locked="0"/>
    </xf>
    <xf numFmtId="10" fontId="63" fillId="15" borderId="25" xfId="2" applyNumberFormat="1" applyFont="1" applyFill="1" applyBorder="1" applyAlignment="1" applyProtection="1">
      <alignment horizontal="center" vertical="center"/>
    </xf>
    <xf numFmtId="10" fontId="63" fillId="15" borderId="26" xfId="2" applyNumberFormat="1" applyFont="1" applyFill="1" applyBorder="1" applyAlignment="1" applyProtection="1">
      <alignment horizontal="center" vertical="center"/>
    </xf>
    <xf numFmtId="10" fontId="63" fillId="15" borderId="27" xfId="2" applyNumberFormat="1" applyFont="1" applyFill="1" applyBorder="1" applyAlignment="1" applyProtection="1">
      <alignment horizontal="center" vertical="center"/>
    </xf>
    <xf numFmtId="0" fontId="99" fillId="17" borderId="9" xfId="0" applyFont="1" applyFill="1" applyBorder="1" applyAlignment="1" applyProtection="1">
      <alignment vertical="center"/>
      <protection locked="0"/>
    </xf>
    <xf numFmtId="0" fontId="104" fillId="17" borderId="10" xfId="0" applyFont="1" applyFill="1" applyBorder="1" applyAlignment="1" applyProtection="1">
      <alignment vertical="center"/>
      <protection locked="0"/>
    </xf>
    <xf numFmtId="0" fontId="92" fillId="16" borderId="25" xfId="0" applyFont="1" applyFill="1" applyBorder="1" applyAlignment="1" applyProtection="1">
      <alignment horizontal="center" vertical="center"/>
      <protection locked="0"/>
    </xf>
    <xf numFmtId="0" fontId="92" fillId="16" borderId="26" xfId="0" applyFont="1" applyFill="1" applyBorder="1" applyAlignment="1" applyProtection="1">
      <alignment horizontal="center" vertical="center"/>
      <protection locked="0"/>
    </xf>
    <xf numFmtId="0" fontId="92" fillId="16" borderId="27" xfId="0" applyFont="1" applyFill="1" applyBorder="1" applyAlignment="1" applyProtection="1">
      <alignment horizontal="center" vertical="center"/>
      <protection locked="0"/>
    </xf>
    <xf numFmtId="0" fontId="92" fillId="16" borderId="9" xfId="0" applyFont="1" applyFill="1" applyBorder="1" applyAlignment="1" applyProtection="1">
      <alignment horizontal="center" vertical="center" wrapText="1"/>
      <protection locked="0"/>
    </xf>
    <xf numFmtId="0" fontId="92" fillId="16" borderId="10" xfId="0" applyFont="1" applyFill="1" applyBorder="1" applyAlignment="1" applyProtection="1">
      <alignment horizontal="center" vertical="center" wrapText="1"/>
      <protection locked="0"/>
    </xf>
    <xf numFmtId="0" fontId="92" fillId="16" borderId="11" xfId="0" applyFont="1" applyFill="1" applyBorder="1" applyAlignment="1" applyProtection="1">
      <alignment horizontal="center" vertical="center" wrapText="1"/>
      <protection locked="0"/>
    </xf>
    <xf numFmtId="0" fontId="92" fillId="16" borderId="16" xfId="0" applyFont="1" applyFill="1" applyBorder="1" applyAlignment="1" applyProtection="1">
      <alignment horizontal="center" vertical="center" wrapText="1"/>
      <protection locked="0"/>
    </xf>
    <xf numFmtId="0" fontId="92" fillId="16" borderId="17" xfId="0" applyFont="1" applyFill="1" applyBorder="1" applyAlignment="1" applyProtection="1">
      <alignment horizontal="center" vertical="center" wrapText="1"/>
      <protection locked="0"/>
    </xf>
    <xf numFmtId="0" fontId="92" fillId="16" borderId="18" xfId="0" applyFont="1" applyFill="1" applyBorder="1" applyAlignment="1" applyProtection="1">
      <alignment horizontal="center" vertical="center" wrapText="1"/>
      <protection locked="0"/>
    </xf>
    <xf numFmtId="0" fontId="63" fillId="15" borderId="0" xfId="0" applyFont="1" applyFill="1" applyAlignment="1" applyProtection="1">
      <alignment horizontal="left" vertical="top" wrapText="1"/>
      <protection locked="0"/>
    </xf>
    <xf numFmtId="0" fontId="63" fillId="15" borderId="32" xfId="0" applyFont="1" applyFill="1" applyBorder="1" applyAlignment="1" applyProtection="1">
      <alignment horizontal="center"/>
      <protection locked="0"/>
    </xf>
    <xf numFmtId="0" fontId="63" fillId="15" borderId="33" xfId="0" applyFont="1" applyFill="1" applyBorder="1" applyAlignment="1" applyProtection="1">
      <alignment horizontal="center"/>
      <protection locked="0"/>
    </xf>
    <xf numFmtId="0" fontId="96" fillId="15" borderId="0" xfId="0" applyFont="1" applyFill="1" applyAlignment="1" applyProtection="1">
      <alignment horizontal="center"/>
      <protection locked="0"/>
    </xf>
    <xf numFmtId="0" fontId="97" fillId="15" borderId="0" xfId="0" applyFont="1" applyFill="1" applyAlignment="1" applyProtection="1">
      <alignment horizontal="center"/>
      <protection locked="0"/>
    </xf>
    <xf numFmtId="0" fontId="98" fillId="15" borderId="0" xfId="0" applyFont="1" applyFill="1" applyAlignment="1" applyProtection="1">
      <alignment horizontal="center"/>
      <protection locked="0"/>
    </xf>
    <xf numFmtId="0" fontId="101" fillId="16" borderId="26" xfId="0" applyFont="1" applyFill="1" applyBorder="1" applyAlignment="1" applyProtection="1">
      <alignment horizontal="center" vertical="center"/>
      <protection locked="0"/>
    </xf>
    <xf numFmtId="0" fontId="101" fillId="16" borderId="27" xfId="0" applyFont="1" applyFill="1" applyBorder="1" applyAlignment="1" applyProtection="1">
      <alignment horizontal="center" vertical="center"/>
      <protection locked="0"/>
    </xf>
    <xf numFmtId="0" fontId="62" fillId="15" borderId="0" xfId="0" applyFont="1" applyFill="1" applyAlignment="1" applyProtection="1">
      <alignment horizontal="center" vertical="center"/>
      <protection locked="0"/>
    </xf>
    <xf numFmtId="0" fontId="62" fillId="15" borderId="0" xfId="0" applyFont="1" applyFill="1" applyAlignment="1" applyProtection="1">
      <alignment horizontal="center" wrapText="1"/>
      <protection locked="0"/>
    </xf>
    <xf numFmtId="0" fontId="63" fillId="15" borderId="0" xfId="0" applyFont="1" applyFill="1" applyAlignment="1" applyProtection="1">
      <alignment horizontal="center"/>
      <protection locked="0"/>
    </xf>
    <xf numFmtId="0" fontId="63" fillId="15" borderId="14" xfId="0" applyFont="1" applyFill="1" applyBorder="1" applyAlignment="1" applyProtection="1">
      <alignment horizontal="center"/>
      <protection locked="0"/>
    </xf>
    <xf numFmtId="0" fontId="99" fillId="17" borderId="25" xfId="0" applyFont="1" applyFill="1" applyBorder="1" applyAlignment="1" applyProtection="1">
      <alignment vertical="center"/>
      <protection locked="0"/>
    </xf>
    <xf numFmtId="0" fontId="104" fillId="17" borderId="26" xfId="0" applyFont="1" applyFill="1" applyBorder="1" applyAlignment="1" applyProtection="1">
      <alignment vertical="center"/>
      <protection locked="0"/>
    </xf>
    <xf numFmtId="4" fontId="63" fillId="15" borderId="25" xfId="0" applyNumberFormat="1" applyFont="1" applyFill="1" applyBorder="1" applyAlignment="1">
      <alignment horizontal="center" vertical="center"/>
    </xf>
    <xf numFmtId="4" fontId="63" fillId="15" borderId="26" xfId="0" applyNumberFormat="1" applyFont="1" applyFill="1" applyBorder="1" applyAlignment="1">
      <alignment horizontal="center" vertical="center"/>
    </xf>
    <xf numFmtId="4" fontId="63" fillId="15" borderId="27" xfId="0" applyNumberFormat="1" applyFont="1" applyFill="1" applyBorder="1" applyAlignment="1">
      <alignment horizontal="center" vertical="center"/>
    </xf>
    <xf numFmtId="170" fontId="63" fillId="15" borderId="25" xfId="0" applyNumberFormat="1" applyFont="1" applyFill="1" applyBorder="1" applyAlignment="1">
      <alignment horizontal="center" vertical="center"/>
    </xf>
    <xf numFmtId="170" fontId="63" fillId="15" borderId="26" xfId="0" applyNumberFormat="1" applyFont="1" applyFill="1" applyBorder="1" applyAlignment="1">
      <alignment horizontal="center" vertical="center"/>
    </xf>
    <xf numFmtId="170" fontId="63" fillId="15" borderId="27" xfId="0" applyNumberFormat="1" applyFont="1" applyFill="1" applyBorder="1" applyAlignment="1">
      <alignment horizontal="center" vertical="center"/>
    </xf>
    <xf numFmtId="2" fontId="63" fillId="15" borderId="25" xfId="0" applyNumberFormat="1" applyFont="1" applyFill="1" applyBorder="1" applyAlignment="1">
      <alignment horizontal="center" vertical="center"/>
    </xf>
    <xf numFmtId="2" fontId="63" fillId="15" borderId="26" xfId="0" applyNumberFormat="1" applyFont="1" applyFill="1" applyBorder="1" applyAlignment="1">
      <alignment horizontal="center" vertical="center"/>
    </xf>
    <xf numFmtId="2" fontId="63" fillId="15" borderId="27" xfId="0" applyNumberFormat="1" applyFont="1" applyFill="1" applyBorder="1" applyAlignment="1">
      <alignment horizontal="center" vertical="center"/>
    </xf>
    <xf numFmtId="170" fontId="63" fillId="15" borderId="25" xfId="5" applyNumberFormat="1" applyFont="1" applyFill="1" applyBorder="1" applyAlignment="1" applyProtection="1">
      <alignment horizontal="center" vertical="center"/>
    </xf>
    <xf numFmtId="170" fontId="63" fillId="15" borderId="26" xfId="5" applyNumberFormat="1" applyFont="1" applyFill="1" applyBorder="1" applyAlignment="1" applyProtection="1">
      <alignment horizontal="center" vertical="center"/>
    </xf>
    <xf numFmtId="170" fontId="63" fillId="15" borderId="27" xfId="5" applyNumberFormat="1" applyFont="1" applyFill="1" applyBorder="1" applyAlignment="1" applyProtection="1">
      <alignment horizontal="center" vertical="center"/>
    </xf>
    <xf numFmtId="4" fontId="63" fillId="16" borderId="25" xfId="0" applyNumberFormat="1" applyFont="1" applyFill="1" applyBorder="1" applyAlignment="1" applyProtection="1">
      <alignment horizontal="center" vertical="center"/>
      <protection locked="0"/>
    </xf>
    <xf numFmtId="4" fontId="63" fillId="16" borderId="26" xfId="0" applyNumberFormat="1" applyFont="1" applyFill="1" applyBorder="1" applyAlignment="1" applyProtection="1">
      <alignment horizontal="center" vertical="center"/>
      <protection locked="0"/>
    </xf>
    <xf numFmtId="4" fontId="63" fillId="16" borderId="27" xfId="0" applyNumberFormat="1" applyFont="1" applyFill="1" applyBorder="1" applyAlignment="1" applyProtection="1">
      <alignment horizontal="center" vertical="center"/>
      <protection locked="0"/>
    </xf>
    <xf numFmtId="0" fontId="0" fillId="23" borderId="0" xfId="0" applyFill="1" applyAlignment="1">
      <alignment horizontal="center"/>
    </xf>
    <xf numFmtId="0" fontId="0" fillId="0" borderId="0" xfId="0" applyAlignment="1">
      <alignment horizontal="center"/>
    </xf>
    <xf numFmtId="0" fontId="137" fillId="0" borderId="7" xfId="0" applyFont="1" applyBorder="1" applyAlignment="1">
      <alignment horizontal="center" vertical="center" wrapText="1"/>
    </xf>
    <xf numFmtId="0" fontId="137" fillId="0" borderId="12" xfId="0" applyFont="1" applyBorder="1" applyAlignment="1">
      <alignment horizontal="center" vertical="center" wrapText="1"/>
    </xf>
    <xf numFmtId="0" fontId="137" fillId="0" borderId="8" xfId="0" applyFont="1" applyBorder="1" applyAlignment="1">
      <alignment horizontal="center" vertical="center" wrapText="1"/>
    </xf>
  </cellXfs>
  <cellStyles count="7">
    <cellStyle name="Comma" xfId="5" builtinId="3"/>
    <cellStyle name="Currency" xfId="1" builtinId="4"/>
    <cellStyle name="Currency 2" xfId="4" xr:uid="{00000000-0005-0000-0000-000002000000}"/>
    <cellStyle name="Hyperlink" xfId="6" builtinId="8"/>
    <cellStyle name="Normal" xfId="0" builtinId="0"/>
    <cellStyle name="Normal 2"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43815</xdr:colOff>
      <xdr:row>2</xdr:row>
      <xdr:rowOff>49530</xdr:rowOff>
    </xdr:from>
    <xdr:to>
      <xdr:col>6</xdr:col>
      <xdr:colOff>837260</xdr:colOff>
      <xdr:row>8</xdr:row>
      <xdr:rowOff>49530</xdr:rowOff>
    </xdr:to>
    <xdr:pic>
      <xdr:nvPicPr>
        <xdr:cNvPr id="5" name="Picture 4">
          <a:extLst>
            <a:ext uri="{FF2B5EF4-FFF2-40B4-BE49-F238E27FC236}">
              <a16:creationId xmlns:a16="http://schemas.microsoft.com/office/drawing/2014/main" id="{9A01E153-43B0-4B72-9ED0-936A891BE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2" name="Picture 1">
          <a:extLst>
            <a:ext uri="{FF2B5EF4-FFF2-40B4-BE49-F238E27FC236}">
              <a16:creationId xmlns:a16="http://schemas.microsoft.com/office/drawing/2014/main" id="{8A0DF9A7-2915-4569-A462-5F2106D7D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3" name="Picture 2">
          <a:extLst>
            <a:ext uri="{FF2B5EF4-FFF2-40B4-BE49-F238E27FC236}">
              <a16:creationId xmlns:a16="http://schemas.microsoft.com/office/drawing/2014/main" id="{862FE508-BF48-4A45-917F-9B77FF3F4C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4" name="Picture 3">
          <a:extLst>
            <a:ext uri="{FF2B5EF4-FFF2-40B4-BE49-F238E27FC236}">
              <a16:creationId xmlns:a16="http://schemas.microsoft.com/office/drawing/2014/main" id="{49497DB0-E869-4CB0-85BC-6738F74D0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6" name="Picture 5">
          <a:extLst>
            <a:ext uri="{FF2B5EF4-FFF2-40B4-BE49-F238E27FC236}">
              <a16:creationId xmlns:a16="http://schemas.microsoft.com/office/drawing/2014/main" id="{B6033F49-A845-453A-85D9-01FFD2B37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7" name="Picture 6">
          <a:extLst>
            <a:ext uri="{FF2B5EF4-FFF2-40B4-BE49-F238E27FC236}">
              <a16:creationId xmlns:a16="http://schemas.microsoft.com/office/drawing/2014/main" id="{7CC01A74-5660-42FF-92C8-DD2D54618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8" name="Picture 7">
          <a:extLst>
            <a:ext uri="{FF2B5EF4-FFF2-40B4-BE49-F238E27FC236}">
              <a16:creationId xmlns:a16="http://schemas.microsoft.com/office/drawing/2014/main" id="{B9700544-51AA-4A73-8858-B73FCB9AF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9" name="Picture 8">
          <a:extLst>
            <a:ext uri="{FF2B5EF4-FFF2-40B4-BE49-F238E27FC236}">
              <a16:creationId xmlns:a16="http://schemas.microsoft.com/office/drawing/2014/main" id="{EAC64E23-8C06-4C86-8DDE-30FBB0F7D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0" name="Picture 9">
          <a:extLst>
            <a:ext uri="{FF2B5EF4-FFF2-40B4-BE49-F238E27FC236}">
              <a16:creationId xmlns:a16="http://schemas.microsoft.com/office/drawing/2014/main" id="{EE759749-59D9-4A4C-9963-D588FCB8B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1" name="Picture 10">
          <a:extLst>
            <a:ext uri="{FF2B5EF4-FFF2-40B4-BE49-F238E27FC236}">
              <a16:creationId xmlns:a16="http://schemas.microsoft.com/office/drawing/2014/main" id="{A8DD77A8-32A2-4614-B80F-C4997060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2" name="Picture 11">
          <a:extLst>
            <a:ext uri="{FF2B5EF4-FFF2-40B4-BE49-F238E27FC236}">
              <a16:creationId xmlns:a16="http://schemas.microsoft.com/office/drawing/2014/main" id="{931E7801-F743-4E65-922F-9828505DD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3" name="Picture 12">
          <a:extLst>
            <a:ext uri="{FF2B5EF4-FFF2-40B4-BE49-F238E27FC236}">
              <a16:creationId xmlns:a16="http://schemas.microsoft.com/office/drawing/2014/main" id="{A086F2C6-A8B2-43A1-B310-F5248D3B6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4" name="Picture 13">
          <a:extLst>
            <a:ext uri="{FF2B5EF4-FFF2-40B4-BE49-F238E27FC236}">
              <a16:creationId xmlns:a16="http://schemas.microsoft.com/office/drawing/2014/main" id="{00209B26-8A11-4552-AD40-F7D9605FB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5" name="Picture 14">
          <a:extLst>
            <a:ext uri="{FF2B5EF4-FFF2-40B4-BE49-F238E27FC236}">
              <a16:creationId xmlns:a16="http://schemas.microsoft.com/office/drawing/2014/main" id="{7F5520EE-3D56-458C-ABE1-6FE896922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6" name="Picture 15">
          <a:extLst>
            <a:ext uri="{FF2B5EF4-FFF2-40B4-BE49-F238E27FC236}">
              <a16:creationId xmlns:a16="http://schemas.microsoft.com/office/drawing/2014/main" id="{53366986-A72C-492A-BD5C-B21B6A168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twoCellAnchor editAs="oneCell">
    <xdr:from>
      <xdr:col>5</xdr:col>
      <xdr:colOff>43815</xdr:colOff>
      <xdr:row>2</xdr:row>
      <xdr:rowOff>49530</xdr:rowOff>
    </xdr:from>
    <xdr:to>
      <xdr:col>6</xdr:col>
      <xdr:colOff>837260</xdr:colOff>
      <xdr:row>8</xdr:row>
      <xdr:rowOff>49530</xdr:rowOff>
    </xdr:to>
    <xdr:pic>
      <xdr:nvPicPr>
        <xdr:cNvPr id="17" name="Picture 16">
          <a:extLst>
            <a:ext uri="{FF2B5EF4-FFF2-40B4-BE49-F238E27FC236}">
              <a16:creationId xmlns:a16="http://schemas.microsoft.com/office/drawing/2014/main" id="{FCFD215B-2234-4653-A23F-1107C21D58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8835" y="415290"/>
          <a:ext cx="1883105"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f18c5032c895e8c0/Desktop/West%20Coker/Finance/April%202021%20to%20March%202022/Accounts%20Cashbook%2021%202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pril%202023%20to%20March%202024/WCPC%20Accounts%20Cashbook%2023%2024.xlsx" TargetMode="External"/><Relationship Id="rId2" Type="http://schemas.openxmlformats.org/officeDocument/2006/relationships/externalLinkPath" Target="file:///C:\WCPC\Accounts\April%202023%20to%20March%202024\WCPC%20Accounts%20Cashbook%2023%2024.xlsx" TargetMode="External"/><Relationship Id="rId1" Type="http://schemas.openxmlformats.org/officeDocument/2006/relationships/externalLinkPath" Target="/WCPC/Accounts/April%202023%20to%20March%202024/WCPC%20Accounts%20Cashbook%2023%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WCPC\Accounts\April%202025%20to%20March%202026\Precept%202025%202026\Copy%20of%20CTX%20Parish%20Precept%20Form%2025-26%20Completed.xlsx" TargetMode="External"/><Relationship Id="rId1" Type="http://schemas.openxmlformats.org/officeDocument/2006/relationships/externalLinkPath" Target="Precept%202025%202026/Copy%20of%20CTX%20Parish%20Precept%20Form%2025-26%20Completed.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April%202022%20to%20March%202023/WCPC%20Accounts%20Cashbook%2022%2023.xlsx" TargetMode="External"/><Relationship Id="rId2" Type="http://schemas.openxmlformats.org/officeDocument/2006/relationships/externalLinkPath" Target="file:///C:\WCPC\Accounts\April%202022%20to%20March%202023\WCPC%20Accounts%20Cashbook%2022%2023.xlsx" TargetMode="External"/><Relationship Id="rId1" Type="http://schemas.openxmlformats.org/officeDocument/2006/relationships/externalLinkPath" Target="/WCPC/Accounts/April%202022%20to%20March%202023/WCPC%20Accounts%20Cashbook%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FH Allowance"/>
      <sheetName val="Budget 21 22"/>
      <sheetName val="YTD Budget workings 2021 22"/>
      <sheetName val="Budget 2022 23"/>
      <sheetName val="Precept workings"/>
      <sheetName val="PWLB Loan"/>
      <sheetName val="New Pavilion"/>
      <sheetName val="Grants"/>
      <sheetName val="VAT reclaim 1"/>
      <sheetName val="VAT reclaim 2"/>
      <sheetName val="Current Account"/>
      <sheetName val="Deposit"/>
      <sheetName val="Bank Rec"/>
      <sheetName val="New Play Equipment"/>
      <sheetName val="Accruals"/>
      <sheetName val="P&amp;L"/>
      <sheetName val="Balance Sheet"/>
      <sheetName val="Asset Register"/>
      <sheetName val="Reimbursement cla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94">
          <cell r="AD94">
            <v>500</v>
          </cell>
        </row>
        <row r="156">
          <cell r="N156">
            <v>1444.1000000000001</v>
          </cell>
          <cell r="O156">
            <v>6482.4000000000005</v>
          </cell>
          <cell r="P156">
            <v>11358.580000000002</v>
          </cell>
          <cell r="Q156">
            <v>2591.5300000000002</v>
          </cell>
          <cell r="R156">
            <v>337.98</v>
          </cell>
          <cell r="S156">
            <v>46.99</v>
          </cell>
          <cell r="T156">
            <v>7</v>
          </cell>
          <cell r="U156">
            <v>672.96</v>
          </cell>
          <cell r="V156">
            <v>506.31</v>
          </cell>
          <cell r="W156">
            <v>460</v>
          </cell>
          <cell r="X156">
            <v>30</v>
          </cell>
          <cell r="Y156">
            <v>198.79</v>
          </cell>
          <cell r="Z156">
            <v>540.35</v>
          </cell>
          <cell r="AA156">
            <v>70</v>
          </cell>
          <cell r="AB156">
            <v>996.25</v>
          </cell>
          <cell r="AC156">
            <v>225</v>
          </cell>
          <cell r="AD156">
            <v>1411</v>
          </cell>
          <cell r="AF156">
            <v>1590.04</v>
          </cell>
          <cell r="AG156">
            <v>29.15</v>
          </cell>
          <cell r="AH156">
            <v>206655.41000000003</v>
          </cell>
          <cell r="AJ156">
            <v>4947.41</v>
          </cell>
        </row>
      </sheetData>
      <sheetData sheetId="11" refreshError="1"/>
      <sheetData sheetId="12" refreshError="1">
        <row r="25">
          <cell r="G25">
            <v>597647.64999999991</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WFH Allowance"/>
      <sheetName val="Budget YTD 2023 24"/>
      <sheetName val="Budget 2024 25"/>
      <sheetName val="Budget YTD 2024 25"/>
      <sheetName val="Current Account"/>
      <sheetName val="Asset Register"/>
      <sheetName val="Precept Form 24 25"/>
      <sheetName val="Precept workings"/>
      <sheetName val="PWLB Loan"/>
      <sheetName val="New Pavilion"/>
      <sheetName val="Grants"/>
      <sheetName val="Deposit"/>
      <sheetName val="P&amp;L"/>
      <sheetName val="Balance Sheet"/>
      <sheetName val="Accruals"/>
      <sheetName val="Bank Rec"/>
      <sheetName val="VAT CLAIM 1"/>
      <sheetName val="VAT CLAIM 2"/>
      <sheetName val="New Play Equipment"/>
      <sheetName val="PWLB Accruals"/>
      <sheetName val="Reimbursement claims"/>
    </sheetNames>
    <sheetDataSet>
      <sheetData sheetId="0"/>
      <sheetData sheetId="1"/>
      <sheetData sheetId="2"/>
      <sheetData sheetId="3"/>
      <sheetData sheetId="4">
        <row r="172">
          <cell r="N172">
            <v>0</v>
          </cell>
          <cell r="O172">
            <v>4965.78</v>
          </cell>
          <cell r="P172">
            <v>28.8</v>
          </cell>
          <cell r="Q172">
            <v>15823.439999999999</v>
          </cell>
          <cell r="R172">
            <v>3892.3000000000006</v>
          </cell>
          <cell r="S172">
            <v>1249.1499999999999</v>
          </cell>
          <cell r="T172">
            <v>630.65999999999985</v>
          </cell>
          <cell r="U172">
            <v>0</v>
          </cell>
          <cell r="Y172">
            <v>104.31</v>
          </cell>
          <cell r="Z172">
            <v>605</v>
          </cell>
          <cell r="AA172">
            <v>345</v>
          </cell>
          <cell r="AB172">
            <v>200</v>
          </cell>
          <cell r="AC172">
            <v>591.32000000000005</v>
          </cell>
          <cell r="AD172">
            <v>225</v>
          </cell>
          <cell r="AE172">
            <v>498.33000000000004</v>
          </cell>
          <cell r="AF172">
            <v>0</v>
          </cell>
          <cell r="AG172">
            <v>312</v>
          </cell>
          <cell r="AH172">
            <v>166.65</v>
          </cell>
          <cell r="AI172">
            <v>42.99</v>
          </cell>
          <cell r="AJ172">
            <v>0</v>
          </cell>
          <cell r="AM172">
            <v>2324.4</v>
          </cell>
        </row>
      </sheetData>
      <sheetData sheetId="5"/>
      <sheetData sheetId="6"/>
      <sheetData sheetId="7"/>
      <sheetData sheetId="8"/>
      <sheetData sheetId="9"/>
      <sheetData sheetId="10"/>
      <sheetData sheetId="11"/>
      <sheetData sheetId="12">
        <row r="50">
          <cell r="E50">
            <v>-37318.790000000023</v>
          </cell>
        </row>
      </sheetData>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Tax Base"/>
      <sheetName val="Form"/>
      <sheetName val="Tax Base Explained"/>
      <sheetName val="Calculator per Band D"/>
      <sheetName val="Calculator Total Precept"/>
      <sheetName val="Number Of Dwellings"/>
    </sheetNames>
    <sheetDataSet>
      <sheetData sheetId="0"/>
      <sheetData sheetId="1">
        <row r="4">
          <cell r="B4" t="str">
            <v>Ashwick</v>
          </cell>
          <cell r="C4">
            <v>555.26</v>
          </cell>
          <cell r="E4">
            <v>543.70000000000005</v>
          </cell>
          <cell r="F4">
            <v>23000</v>
          </cell>
        </row>
        <row r="5">
          <cell r="B5" t="str">
            <v>Baltonsborough</v>
          </cell>
          <cell r="C5">
            <v>457.77</v>
          </cell>
          <cell r="E5">
            <v>447.85</v>
          </cell>
          <cell r="F5">
            <v>20000</v>
          </cell>
        </row>
        <row r="6">
          <cell r="B6" t="str">
            <v>Batcombe</v>
          </cell>
          <cell r="C6">
            <v>216.49</v>
          </cell>
          <cell r="E6">
            <v>212.78</v>
          </cell>
          <cell r="F6">
            <v>10075</v>
          </cell>
        </row>
        <row r="7">
          <cell r="B7" t="str">
            <v>Beckington</v>
          </cell>
          <cell r="C7">
            <v>541.38</v>
          </cell>
          <cell r="E7">
            <v>541.54</v>
          </cell>
          <cell r="F7">
            <v>45501</v>
          </cell>
        </row>
        <row r="8">
          <cell r="B8" t="str">
            <v>Berkley</v>
          </cell>
          <cell r="C8">
            <v>120.2</v>
          </cell>
          <cell r="E8">
            <v>116.88</v>
          </cell>
          <cell r="F8">
            <v>4000</v>
          </cell>
        </row>
        <row r="9">
          <cell r="B9" t="str">
            <v>Binegar</v>
          </cell>
          <cell r="C9">
            <v>152.6</v>
          </cell>
          <cell r="E9">
            <v>155.18</v>
          </cell>
          <cell r="F9">
            <v>10500</v>
          </cell>
        </row>
        <row r="10">
          <cell r="B10" t="str">
            <v>Buckland Dinham</v>
          </cell>
          <cell r="C10">
            <v>186.44</v>
          </cell>
          <cell r="E10">
            <v>186.37</v>
          </cell>
          <cell r="F10">
            <v>10258</v>
          </cell>
        </row>
        <row r="11">
          <cell r="B11" t="str">
            <v>Butleigh</v>
          </cell>
          <cell r="C11">
            <v>420.17</v>
          </cell>
          <cell r="E11">
            <v>416.37</v>
          </cell>
          <cell r="F11">
            <v>19000</v>
          </cell>
        </row>
        <row r="12">
          <cell r="B12" t="str">
            <v>Chewton Mendip</v>
          </cell>
          <cell r="C12">
            <v>257.12</v>
          </cell>
          <cell r="E12">
            <v>251.81</v>
          </cell>
          <cell r="F12">
            <v>8000</v>
          </cell>
        </row>
        <row r="13">
          <cell r="B13" t="str">
            <v>Chilcompton</v>
          </cell>
          <cell r="C13">
            <v>914.63</v>
          </cell>
          <cell r="E13">
            <v>903.17</v>
          </cell>
          <cell r="F13">
            <v>41000</v>
          </cell>
        </row>
        <row r="14">
          <cell r="B14" t="str">
            <v>Coleford</v>
          </cell>
          <cell r="C14">
            <v>762.19</v>
          </cell>
          <cell r="E14">
            <v>755.24</v>
          </cell>
          <cell r="F14">
            <v>64446</v>
          </cell>
        </row>
        <row r="15">
          <cell r="B15" t="str">
            <v>Cranmore</v>
          </cell>
          <cell r="C15">
            <v>217.75</v>
          </cell>
          <cell r="E15">
            <v>210.23</v>
          </cell>
          <cell r="F15">
            <v>11220</v>
          </cell>
        </row>
        <row r="16">
          <cell r="B16" t="str">
            <v>Croscombe</v>
          </cell>
          <cell r="C16">
            <v>273.35000000000002</v>
          </cell>
          <cell r="E16">
            <v>261.8</v>
          </cell>
          <cell r="F16">
            <v>12650</v>
          </cell>
        </row>
        <row r="17">
          <cell r="B17" t="str">
            <v>Ditcheat</v>
          </cell>
          <cell r="C17">
            <v>336.18</v>
          </cell>
          <cell r="E17">
            <v>332.77</v>
          </cell>
          <cell r="F17">
            <v>16000</v>
          </cell>
        </row>
        <row r="18">
          <cell r="B18" t="str">
            <v>Doulting</v>
          </cell>
          <cell r="C18">
            <v>248.16</v>
          </cell>
          <cell r="E18">
            <v>244.7</v>
          </cell>
          <cell r="F18">
            <v>23000</v>
          </cell>
        </row>
        <row r="19">
          <cell r="B19" t="str">
            <v>Downhead</v>
          </cell>
          <cell r="C19">
            <v>42.79</v>
          </cell>
          <cell r="E19">
            <v>44.31</v>
          </cell>
          <cell r="F19">
            <v>1500</v>
          </cell>
        </row>
        <row r="20">
          <cell r="B20" t="str">
            <v>East Pennard</v>
          </cell>
          <cell r="C20">
            <v>160.35</v>
          </cell>
          <cell r="E20">
            <v>154.94999999999999</v>
          </cell>
          <cell r="F20">
            <v>3500</v>
          </cell>
        </row>
        <row r="21">
          <cell r="B21" t="str">
            <v>Emborough</v>
          </cell>
          <cell r="C21">
            <v>64.209999999999994</v>
          </cell>
          <cell r="E21">
            <v>60.91</v>
          </cell>
          <cell r="F21">
            <v>0</v>
          </cell>
        </row>
        <row r="22">
          <cell r="B22" t="str">
            <v>Evercreech</v>
          </cell>
          <cell r="C22">
            <v>957.03</v>
          </cell>
          <cell r="E22">
            <v>938.96</v>
          </cell>
          <cell r="F22">
            <v>63000</v>
          </cell>
        </row>
        <row r="23">
          <cell r="B23" t="str">
            <v>Frome</v>
          </cell>
          <cell r="C23">
            <v>9413.2000000000007</v>
          </cell>
          <cell r="E23">
            <v>9223.31</v>
          </cell>
          <cell r="F23">
            <v>2553158</v>
          </cell>
        </row>
        <row r="24">
          <cell r="B24" t="str">
            <v>Glastonbury</v>
          </cell>
          <cell r="C24">
            <v>3336.61</v>
          </cell>
          <cell r="E24">
            <v>3241.87</v>
          </cell>
          <cell r="F24">
            <v>960000</v>
          </cell>
        </row>
        <row r="25">
          <cell r="B25" t="str">
            <v>Godney</v>
          </cell>
          <cell r="C25">
            <v>98.82</v>
          </cell>
          <cell r="E25">
            <v>94.36</v>
          </cell>
          <cell r="F25">
            <v>13807</v>
          </cell>
        </row>
        <row r="26">
          <cell r="B26" t="str">
            <v>Great Elm</v>
          </cell>
          <cell r="C26">
            <v>80.58</v>
          </cell>
          <cell r="E26">
            <v>81.81</v>
          </cell>
          <cell r="F26">
            <v>0</v>
          </cell>
        </row>
        <row r="27">
          <cell r="B27" t="str">
            <v>Hemington</v>
          </cell>
          <cell r="C27">
            <v>294.33</v>
          </cell>
          <cell r="E27">
            <v>293.94</v>
          </cell>
          <cell r="F27">
            <v>19614</v>
          </cell>
        </row>
        <row r="28">
          <cell r="B28" t="str">
            <v>Holcombe</v>
          </cell>
          <cell r="C28">
            <v>431.03</v>
          </cell>
          <cell r="E28">
            <v>427.54</v>
          </cell>
          <cell r="F28">
            <v>14389</v>
          </cell>
        </row>
        <row r="29">
          <cell r="B29" t="str">
            <v>Kilmersdon</v>
          </cell>
          <cell r="C29">
            <v>244.07</v>
          </cell>
          <cell r="E29">
            <v>243.05</v>
          </cell>
          <cell r="F29">
            <v>24776</v>
          </cell>
        </row>
        <row r="30">
          <cell r="B30" t="str">
            <v>Lamyatt</v>
          </cell>
          <cell r="C30">
            <v>94.29</v>
          </cell>
          <cell r="E30">
            <v>93.9</v>
          </cell>
          <cell r="F30">
            <v>0</v>
          </cell>
        </row>
        <row r="31">
          <cell r="B31" t="str">
            <v>Leigh on Mendip</v>
          </cell>
          <cell r="C31">
            <v>229.2</v>
          </cell>
          <cell r="E31">
            <v>225.14</v>
          </cell>
          <cell r="F31">
            <v>13645</v>
          </cell>
        </row>
        <row r="32">
          <cell r="B32" t="str">
            <v>Litton</v>
          </cell>
          <cell r="C32">
            <v>117.99</v>
          </cell>
          <cell r="E32">
            <v>118.84</v>
          </cell>
          <cell r="F32">
            <v>7000</v>
          </cell>
        </row>
        <row r="33">
          <cell r="B33" t="str">
            <v>Lullington</v>
          </cell>
          <cell r="C33">
            <v>81.73</v>
          </cell>
          <cell r="E33">
            <v>81.55</v>
          </cell>
          <cell r="F33">
            <v>2500</v>
          </cell>
        </row>
        <row r="34">
          <cell r="B34" t="str">
            <v>Lydford on Fosse</v>
          </cell>
          <cell r="C34">
            <v>239.37</v>
          </cell>
          <cell r="E34">
            <v>234.67</v>
          </cell>
          <cell r="F34">
            <v>14000</v>
          </cell>
        </row>
        <row r="35">
          <cell r="B35" t="str">
            <v>Meare</v>
          </cell>
          <cell r="C35">
            <v>559.99</v>
          </cell>
          <cell r="E35">
            <v>549.63</v>
          </cell>
          <cell r="F35">
            <v>57000</v>
          </cell>
        </row>
        <row r="36">
          <cell r="B36" t="str">
            <v>Mells</v>
          </cell>
          <cell r="C36">
            <v>274.36</v>
          </cell>
          <cell r="E36">
            <v>266.62</v>
          </cell>
          <cell r="F36">
            <v>15000</v>
          </cell>
        </row>
        <row r="37">
          <cell r="B37" t="str">
            <v>Milton Clevedon</v>
          </cell>
          <cell r="C37">
            <v>39.56</v>
          </cell>
          <cell r="E37">
            <v>39.78</v>
          </cell>
          <cell r="F37">
            <v>0</v>
          </cell>
        </row>
        <row r="38">
          <cell r="B38" t="str">
            <v>North Wootton</v>
          </cell>
          <cell r="C38">
            <v>149.78</v>
          </cell>
          <cell r="E38">
            <v>145.4</v>
          </cell>
          <cell r="F38">
            <v>5710</v>
          </cell>
        </row>
        <row r="39">
          <cell r="B39" t="str">
            <v>Norton St Philip</v>
          </cell>
          <cell r="C39">
            <v>515.55999999999995</v>
          </cell>
          <cell r="E39">
            <v>520.09</v>
          </cell>
          <cell r="F39">
            <v>54747</v>
          </cell>
        </row>
        <row r="40">
          <cell r="B40" t="str">
            <v>Nunney</v>
          </cell>
          <cell r="C40">
            <v>390.04</v>
          </cell>
          <cell r="E40">
            <v>360.57</v>
          </cell>
          <cell r="F40">
            <v>43779</v>
          </cell>
        </row>
        <row r="41">
          <cell r="B41" t="str">
            <v>Pilton</v>
          </cell>
          <cell r="C41">
            <v>511.01</v>
          </cell>
          <cell r="E41">
            <v>490.55</v>
          </cell>
          <cell r="F41">
            <v>25990</v>
          </cell>
        </row>
        <row r="42">
          <cell r="B42" t="str">
            <v>Priddy</v>
          </cell>
          <cell r="C42">
            <v>294.07</v>
          </cell>
          <cell r="E42">
            <v>290.10000000000002</v>
          </cell>
          <cell r="F42">
            <v>12650</v>
          </cell>
        </row>
        <row r="43">
          <cell r="B43" t="str">
            <v>Pylle</v>
          </cell>
          <cell r="C43">
            <v>70.180000000000007</v>
          </cell>
          <cell r="E43">
            <v>70.489999999999995</v>
          </cell>
          <cell r="F43">
            <v>0</v>
          </cell>
        </row>
        <row r="44">
          <cell r="B44" t="str">
            <v>Rode</v>
          </cell>
          <cell r="C44">
            <v>515.09</v>
          </cell>
          <cell r="E44">
            <v>510.57</v>
          </cell>
          <cell r="F44">
            <v>30000</v>
          </cell>
        </row>
        <row r="45">
          <cell r="B45" t="str">
            <v>Rodney Stoke</v>
          </cell>
          <cell r="C45">
            <v>563.45000000000005</v>
          </cell>
          <cell r="E45">
            <v>560.91999999999996</v>
          </cell>
          <cell r="F45">
            <v>29176</v>
          </cell>
        </row>
        <row r="46">
          <cell r="B46" t="str">
            <v>Selwood</v>
          </cell>
          <cell r="C46">
            <v>420.01</v>
          </cell>
          <cell r="E46">
            <v>395.97</v>
          </cell>
          <cell r="F46">
            <v>11000</v>
          </cell>
        </row>
        <row r="47">
          <cell r="B47" t="str">
            <v>Sharpham</v>
          </cell>
          <cell r="C47">
            <v>23.62</v>
          </cell>
          <cell r="E47">
            <v>22.1</v>
          </cell>
          <cell r="F47">
            <v>0</v>
          </cell>
        </row>
        <row r="48">
          <cell r="B48" t="str">
            <v>Shepton Mallet</v>
          </cell>
          <cell r="C48">
            <v>3515.57</v>
          </cell>
          <cell r="E48">
            <v>3462.85</v>
          </cell>
          <cell r="F48">
            <v>1058142</v>
          </cell>
        </row>
        <row r="49">
          <cell r="B49" t="str">
            <v>St Cuthbert Out</v>
          </cell>
          <cell r="C49">
            <v>2209.39</v>
          </cell>
          <cell r="E49">
            <v>2122.3200000000002</v>
          </cell>
          <cell r="F49">
            <v>168452</v>
          </cell>
        </row>
        <row r="50">
          <cell r="B50" t="str">
            <v>Stoke St Michael</v>
          </cell>
          <cell r="C50">
            <v>385.37</v>
          </cell>
          <cell r="E50">
            <v>376.37</v>
          </cell>
          <cell r="F50">
            <v>28731</v>
          </cell>
        </row>
        <row r="51">
          <cell r="B51" t="str">
            <v>Ston Easton</v>
          </cell>
          <cell r="C51">
            <v>237.77</v>
          </cell>
          <cell r="E51">
            <v>232.44</v>
          </cell>
          <cell r="F51">
            <v>12000</v>
          </cell>
        </row>
        <row r="52">
          <cell r="B52" t="str">
            <v>Stratton on the Fosse</v>
          </cell>
          <cell r="C52">
            <v>279.89999999999998</v>
          </cell>
          <cell r="E52">
            <v>274.93</v>
          </cell>
          <cell r="F52">
            <v>17850</v>
          </cell>
        </row>
        <row r="53">
          <cell r="B53" t="str">
            <v>Street</v>
          </cell>
          <cell r="C53">
            <v>3917.94</v>
          </cell>
          <cell r="E53">
            <v>3840.17</v>
          </cell>
          <cell r="F53">
            <v>718000</v>
          </cell>
        </row>
        <row r="54">
          <cell r="B54" t="str">
            <v>Tellisford</v>
          </cell>
          <cell r="C54">
            <v>96.37</v>
          </cell>
          <cell r="E54">
            <v>95.21</v>
          </cell>
          <cell r="F54">
            <v>0</v>
          </cell>
        </row>
        <row r="55">
          <cell r="B55" t="str">
            <v>Trudoxhill</v>
          </cell>
          <cell r="C55">
            <v>191.73</v>
          </cell>
          <cell r="E55">
            <v>192.54</v>
          </cell>
          <cell r="F55">
            <v>7671.28</v>
          </cell>
        </row>
        <row r="56">
          <cell r="B56" t="str">
            <v>Upton Noble</v>
          </cell>
          <cell r="C56">
            <v>69.400000000000006</v>
          </cell>
          <cell r="E56">
            <v>68.459999999999994</v>
          </cell>
          <cell r="F56">
            <v>0</v>
          </cell>
        </row>
        <row r="57">
          <cell r="B57" t="str">
            <v>Walton</v>
          </cell>
          <cell r="C57">
            <v>466.34</v>
          </cell>
          <cell r="E57">
            <v>464.07</v>
          </cell>
          <cell r="F57">
            <v>38909.879999999997</v>
          </cell>
        </row>
        <row r="58">
          <cell r="B58" t="str">
            <v>Wanstrow</v>
          </cell>
          <cell r="C58">
            <v>197.22</v>
          </cell>
          <cell r="E58">
            <v>199.45</v>
          </cell>
          <cell r="F58">
            <v>9020</v>
          </cell>
        </row>
        <row r="59">
          <cell r="B59" t="str">
            <v>Wells</v>
          </cell>
          <cell r="C59">
            <v>4407.6899999999996</v>
          </cell>
          <cell r="E59">
            <v>4380.25</v>
          </cell>
          <cell r="F59">
            <v>1178497</v>
          </cell>
        </row>
        <row r="60">
          <cell r="B60" t="str">
            <v>West Bradley</v>
          </cell>
          <cell r="C60">
            <v>139.66</v>
          </cell>
          <cell r="E60">
            <v>138.30000000000001</v>
          </cell>
          <cell r="F60">
            <v>0</v>
          </cell>
        </row>
        <row r="61">
          <cell r="B61" t="str">
            <v>Westbury Sub Mendip</v>
          </cell>
          <cell r="C61">
            <v>384.36</v>
          </cell>
          <cell r="E61">
            <v>380.02</v>
          </cell>
          <cell r="F61">
            <v>28860</v>
          </cell>
        </row>
        <row r="62">
          <cell r="B62" t="str">
            <v>West Pennard</v>
          </cell>
          <cell r="C62">
            <v>317.77999999999997</v>
          </cell>
          <cell r="E62">
            <v>317.12</v>
          </cell>
          <cell r="F62">
            <v>7000</v>
          </cell>
        </row>
        <row r="63">
          <cell r="B63" t="str">
            <v>Whatley</v>
          </cell>
          <cell r="C63">
            <v>131.25</v>
          </cell>
          <cell r="E63">
            <v>129.27000000000001</v>
          </cell>
          <cell r="F63">
            <v>7923.75</v>
          </cell>
        </row>
        <row r="64">
          <cell r="B64" t="str">
            <v>Witham Friary</v>
          </cell>
          <cell r="C64">
            <v>167.85</v>
          </cell>
          <cell r="E64">
            <v>162.96</v>
          </cell>
          <cell r="F64">
            <v>12000</v>
          </cell>
        </row>
        <row r="65">
          <cell r="B65" t="str">
            <v>Wookey</v>
          </cell>
          <cell r="C65">
            <v>491.36</v>
          </cell>
          <cell r="E65">
            <v>485.16</v>
          </cell>
          <cell r="F65">
            <v>49683.16</v>
          </cell>
        </row>
        <row r="66">
          <cell r="B66" t="str">
            <v>Ashcott</v>
          </cell>
          <cell r="C66">
            <v>473.49</v>
          </cell>
          <cell r="E66">
            <v>476.56</v>
          </cell>
          <cell r="F66">
            <v>23785</v>
          </cell>
        </row>
        <row r="67">
          <cell r="B67" t="str">
            <v>Axbridge</v>
          </cell>
          <cell r="C67">
            <v>721.26</v>
          </cell>
          <cell r="E67">
            <v>726.12</v>
          </cell>
          <cell r="F67">
            <v>131000</v>
          </cell>
        </row>
        <row r="68">
          <cell r="B68" t="str">
            <v>Badgworth</v>
          </cell>
          <cell r="C68">
            <v>235.05</v>
          </cell>
          <cell r="E68">
            <v>237.56</v>
          </cell>
          <cell r="F68">
            <v>14386</v>
          </cell>
        </row>
        <row r="69">
          <cell r="B69" t="str">
            <v>Bawdrip</v>
          </cell>
          <cell r="C69">
            <v>242.64</v>
          </cell>
          <cell r="E69">
            <v>233.64</v>
          </cell>
          <cell r="F69">
            <v>9000</v>
          </cell>
        </row>
        <row r="70">
          <cell r="B70" t="str">
            <v>Berrow</v>
          </cell>
          <cell r="C70">
            <v>625.21</v>
          </cell>
          <cell r="E70">
            <v>618.64</v>
          </cell>
          <cell r="F70">
            <v>85415</v>
          </cell>
        </row>
        <row r="71">
          <cell r="B71" t="str">
            <v>Brean</v>
          </cell>
          <cell r="C71">
            <v>254.55</v>
          </cell>
          <cell r="E71">
            <v>252.12</v>
          </cell>
          <cell r="F71">
            <v>15582</v>
          </cell>
        </row>
        <row r="72">
          <cell r="B72" t="str">
            <v>Brent Knoll</v>
          </cell>
          <cell r="C72">
            <v>576.91999999999996</v>
          </cell>
          <cell r="E72">
            <v>580.19000000000005</v>
          </cell>
          <cell r="F72">
            <v>60000</v>
          </cell>
        </row>
        <row r="73">
          <cell r="B73" t="str">
            <v xml:space="preserve">Bridgwater </v>
          </cell>
          <cell r="C73">
            <v>10458.59</v>
          </cell>
          <cell r="E73">
            <v>10399.120000000001</v>
          </cell>
          <cell r="F73">
            <v>3071221</v>
          </cell>
        </row>
        <row r="74">
          <cell r="B74" t="str">
            <v>Bridgwater Without</v>
          </cell>
          <cell r="C74">
            <v>1168.08</v>
          </cell>
          <cell r="E74">
            <v>967.56</v>
          </cell>
          <cell r="F74">
            <v>55000</v>
          </cell>
        </row>
        <row r="75">
          <cell r="B75" t="str">
            <v>Broomfield</v>
          </cell>
          <cell r="C75">
            <v>115.83</v>
          </cell>
          <cell r="E75">
            <v>112.56</v>
          </cell>
          <cell r="F75">
            <v>3869</v>
          </cell>
        </row>
        <row r="76">
          <cell r="B76" t="str">
            <v>Burnham-on-Sea &amp; Highbridge</v>
          </cell>
          <cell r="C76">
            <v>6803.48</v>
          </cell>
          <cell r="E76">
            <v>6644.64</v>
          </cell>
          <cell r="F76">
            <v>952901</v>
          </cell>
        </row>
        <row r="77">
          <cell r="B77" t="str">
            <v>Burnham Without</v>
          </cell>
          <cell r="C77">
            <v>704.21</v>
          </cell>
          <cell r="E77">
            <v>696.33</v>
          </cell>
          <cell r="F77">
            <v>20000</v>
          </cell>
        </row>
        <row r="78">
          <cell r="B78" t="str">
            <v>Burtle</v>
          </cell>
          <cell r="C78">
            <v>160.43</v>
          </cell>
          <cell r="E78">
            <v>157.38</v>
          </cell>
          <cell r="F78">
            <v>4400</v>
          </cell>
        </row>
        <row r="79">
          <cell r="B79" t="str">
            <v>Cannington</v>
          </cell>
          <cell r="C79">
            <v>831.42</v>
          </cell>
          <cell r="E79">
            <v>809.27</v>
          </cell>
          <cell r="F79">
            <v>50000</v>
          </cell>
        </row>
        <row r="80">
          <cell r="B80" t="str">
            <v>Catcott</v>
          </cell>
          <cell r="C80">
            <v>238.4</v>
          </cell>
          <cell r="E80">
            <v>239.21</v>
          </cell>
          <cell r="F80">
            <v>10450</v>
          </cell>
        </row>
        <row r="81">
          <cell r="B81" t="str">
            <v>Chapel Allerton</v>
          </cell>
          <cell r="C81">
            <v>189.47</v>
          </cell>
          <cell r="E81">
            <v>190.84</v>
          </cell>
          <cell r="F81">
            <v>7800</v>
          </cell>
        </row>
        <row r="82">
          <cell r="B82" t="str">
            <v>Cheddar</v>
          </cell>
          <cell r="C82">
            <v>2574.7399999999998</v>
          </cell>
          <cell r="E82">
            <v>2521.35</v>
          </cell>
          <cell r="F82">
            <v>281892</v>
          </cell>
        </row>
        <row r="83">
          <cell r="B83" t="str">
            <v>Chedzoy</v>
          </cell>
          <cell r="C83">
            <v>169.4</v>
          </cell>
          <cell r="E83">
            <v>168.15</v>
          </cell>
          <cell r="F83">
            <v>10000</v>
          </cell>
        </row>
        <row r="84">
          <cell r="B84" t="str">
            <v>Chilton Polden</v>
          </cell>
          <cell r="C84">
            <v>303.24</v>
          </cell>
          <cell r="E84">
            <v>303.54000000000002</v>
          </cell>
          <cell r="F84">
            <v>6752</v>
          </cell>
        </row>
        <row r="85">
          <cell r="B85" t="str">
            <v>Chilton Trinity</v>
          </cell>
          <cell r="C85">
            <v>193.42</v>
          </cell>
          <cell r="E85">
            <v>189.72</v>
          </cell>
          <cell r="F85">
            <v>10800</v>
          </cell>
        </row>
        <row r="86">
          <cell r="B86" t="str">
            <v>Compton Bishop</v>
          </cell>
          <cell r="C86">
            <v>288.70999999999998</v>
          </cell>
          <cell r="E86">
            <v>283.05</v>
          </cell>
          <cell r="F86">
            <v>16125</v>
          </cell>
        </row>
        <row r="87">
          <cell r="B87" t="str">
            <v>Cossington</v>
          </cell>
          <cell r="C87">
            <v>288.52999999999997</v>
          </cell>
          <cell r="E87">
            <v>286.95</v>
          </cell>
          <cell r="F87">
            <v>12000</v>
          </cell>
        </row>
        <row r="88">
          <cell r="B88" t="str">
            <v>Durleigh</v>
          </cell>
          <cell r="C88">
            <v>235.54</v>
          </cell>
          <cell r="E88">
            <v>229.86</v>
          </cell>
          <cell r="F88">
            <v>13760</v>
          </cell>
        </row>
        <row r="89">
          <cell r="B89" t="str">
            <v>East Brent</v>
          </cell>
          <cell r="C89">
            <v>575.19000000000005</v>
          </cell>
          <cell r="E89">
            <v>561.35</v>
          </cell>
          <cell r="F89">
            <v>27500</v>
          </cell>
        </row>
        <row r="90">
          <cell r="B90" t="str">
            <v>East Huntspill</v>
          </cell>
          <cell r="C90">
            <v>478.43</v>
          </cell>
          <cell r="E90">
            <v>471.95</v>
          </cell>
          <cell r="F90">
            <v>38500</v>
          </cell>
        </row>
        <row r="91">
          <cell r="B91" t="str">
            <v>Edington</v>
          </cell>
          <cell r="C91">
            <v>167.38</v>
          </cell>
          <cell r="E91">
            <v>169.56</v>
          </cell>
          <cell r="F91">
            <v>10000</v>
          </cell>
        </row>
        <row r="92">
          <cell r="B92" t="str">
            <v>Enmore</v>
          </cell>
          <cell r="C92">
            <v>111.23</v>
          </cell>
          <cell r="E92">
            <v>114.32</v>
          </cell>
          <cell r="F92">
            <v>5253</v>
          </cell>
        </row>
        <row r="93">
          <cell r="B93" t="str">
            <v>Fiddington</v>
          </cell>
          <cell r="C93">
            <v>125.15</v>
          </cell>
          <cell r="E93">
            <v>127.96</v>
          </cell>
          <cell r="F93">
            <v>4700</v>
          </cell>
        </row>
        <row r="94">
          <cell r="B94" t="str">
            <v>Goathurst</v>
          </cell>
          <cell r="C94">
            <v>98.33</v>
          </cell>
          <cell r="E94">
            <v>98.25</v>
          </cell>
          <cell r="F94">
            <v>3313</v>
          </cell>
        </row>
        <row r="95">
          <cell r="B95" t="str">
            <v>Greinton</v>
          </cell>
          <cell r="C95">
            <v>70.62</v>
          </cell>
          <cell r="E95">
            <v>70.25</v>
          </cell>
          <cell r="F95">
            <v>700</v>
          </cell>
        </row>
        <row r="96">
          <cell r="B96" t="str">
            <v>Lympsham</v>
          </cell>
          <cell r="C96">
            <v>381.89</v>
          </cell>
          <cell r="E96">
            <v>372.07</v>
          </cell>
          <cell r="F96">
            <v>32000</v>
          </cell>
        </row>
        <row r="97">
          <cell r="B97" t="str">
            <v>Lyng</v>
          </cell>
          <cell r="C97">
            <v>124.07</v>
          </cell>
          <cell r="E97">
            <v>122.4</v>
          </cell>
          <cell r="F97">
            <v>5200</v>
          </cell>
        </row>
        <row r="98">
          <cell r="B98" t="str">
            <v>Mark</v>
          </cell>
          <cell r="C98">
            <v>587.25</v>
          </cell>
          <cell r="E98">
            <v>590.09</v>
          </cell>
          <cell r="F98">
            <v>18250</v>
          </cell>
        </row>
        <row r="99">
          <cell r="B99" t="str">
            <v>Middlezoy</v>
          </cell>
          <cell r="C99">
            <v>285.29000000000002</v>
          </cell>
          <cell r="E99">
            <v>288.83</v>
          </cell>
          <cell r="F99">
            <v>18200</v>
          </cell>
        </row>
        <row r="100">
          <cell r="B100" t="str">
            <v>Moorlinch</v>
          </cell>
          <cell r="C100">
            <v>110.54</v>
          </cell>
          <cell r="E100">
            <v>111.38</v>
          </cell>
          <cell r="F100">
            <v>0</v>
          </cell>
        </row>
        <row r="101">
          <cell r="B101" t="str">
            <v>Nether Stowey</v>
          </cell>
          <cell r="C101">
            <v>651.14</v>
          </cell>
          <cell r="E101">
            <v>631.53</v>
          </cell>
          <cell r="F101">
            <v>71995</v>
          </cell>
        </row>
        <row r="102">
          <cell r="B102" t="str">
            <v>North Petherton</v>
          </cell>
          <cell r="C102">
            <v>3801.17</v>
          </cell>
          <cell r="E102">
            <v>3716.92</v>
          </cell>
          <cell r="F102">
            <v>463300</v>
          </cell>
        </row>
        <row r="103">
          <cell r="B103" t="str">
            <v>Othery</v>
          </cell>
          <cell r="C103">
            <v>268.38</v>
          </cell>
          <cell r="E103">
            <v>263.35000000000002</v>
          </cell>
          <cell r="F103">
            <v>11000</v>
          </cell>
        </row>
        <row r="104">
          <cell r="B104" t="str">
            <v>Otterhampton</v>
          </cell>
          <cell r="C104">
            <v>308.27999999999997</v>
          </cell>
          <cell r="E104">
            <v>310.43</v>
          </cell>
          <cell r="F104">
            <v>26000</v>
          </cell>
        </row>
        <row r="105">
          <cell r="B105" t="str">
            <v>Over Stowey</v>
          </cell>
          <cell r="C105">
            <v>171.64</v>
          </cell>
          <cell r="E105">
            <v>166.29</v>
          </cell>
          <cell r="F105">
            <v>8550</v>
          </cell>
        </row>
        <row r="106">
          <cell r="B106" t="str">
            <v>Pawlett</v>
          </cell>
          <cell r="C106">
            <v>428.11</v>
          </cell>
          <cell r="E106">
            <v>421.78</v>
          </cell>
          <cell r="F106">
            <v>22000</v>
          </cell>
        </row>
        <row r="107">
          <cell r="B107" t="str">
            <v>Puriton</v>
          </cell>
          <cell r="C107">
            <v>839.39</v>
          </cell>
          <cell r="E107">
            <v>860.42</v>
          </cell>
          <cell r="F107">
            <v>80000</v>
          </cell>
        </row>
        <row r="108">
          <cell r="B108" t="str">
            <v>Shapwick</v>
          </cell>
          <cell r="C108">
            <v>205.16</v>
          </cell>
          <cell r="E108">
            <v>205.45</v>
          </cell>
          <cell r="F108">
            <v>13500</v>
          </cell>
        </row>
        <row r="109">
          <cell r="B109" t="str">
            <v>Shipham</v>
          </cell>
          <cell r="C109">
            <v>487.25</v>
          </cell>
          <cell r="E109">
            <v>486.81</v>
          </cell>
          <cell r="F109">
            <v>12949</v>
          </cell>
        </row>
        <row r="110">
          <cell r="B110" t="str">
            <v>Spaxton</v>
          </cell>
          <cell r="C110">
            <v>461.77</v>
          </cell>
          <cell r="E110">
            <v>458.93</v>
          </cell>
          <cell r="F110">
            <v>14661</v>
          </cell>
        </row>
        <row r="111">
          <cell r="B111" t="str">
            <v>Stawell</v>
          </cell>
          <cell r="C111">
            <v>172.76</v>
          </cell>
          <cell r="E111">
            <v>173.18</v>
          </cell>
          <cell r="F111">
            <v>6500</v>
          </cell>
        </row>
        <row r="112">
          <cell r="B112" t="str">
            <v>Stockland Bristol</v>
          </cell>
          <cell r="C112">
            <v>72.61</v>
          </cell>
          <cell r="E112">
            <v>72.92</v>
          </cell>
          <cell r="F112">
            <v>2274</v>
          </cell>
        </row>
        <row r="113">
          <cell r="B113" t="str">
            <v>Thurloxton</v>
          </cell>
          <cell r="C113">
            <v>76.040000000000006</v>
          </cell>
          <cell r="E113">
            <v>75.66</v>
          </cell>
          <cell r="F113">
            <v>4500</v>
          </cell>
        </row>
        <row r="114">
          <cell r="B114" t="str">
            <v>Weare</v>
          </cell>
          <cell r="C114">
            <v>301.77</v>
          </cell>
          <cell r="E114">
            <v>296.64</v>
          </cell>
          <cell r="F114">
            <v>9000</v>
          </cell>
        </row>
        <row r="115">
          <cell r="B115" t="str">
            <v>Wedmore</v>
          </cell>
          <cell r="C115">
            <v>1652.69</v>
          </cell>
          <cell r="E115">
            <v>1638.54</v>
          </cell>
          <cell r="F115">
            <v>105000</v>
          </cell>
        </row>
        <row r="116">
          <cell r="B116" t="str">
            <v>Wembdon</v>
          </cell>
          <cell r="C116">
            <v>1346.61</v>
          </cell>
          <cell r="E116">
            <v>1320.45</v>
          </cell>
          <cell r="F116">
            <v>130992</v>
          </cell>
        </row>
        <row r="117">
          <cell r="B117" t="str">
            <v>West Huntspill</v>
          </cell>
          <cell r="C117">
            <v>559.19000000000005</v>
          </cell>
          <cell r="E117">
            <v>553.51</v>
          </cell>
          <cell r="F117">
            <v>31000</v>
          </cell>
        </row>
        <row r="118">
          <cell r="B118" t="str">
            <v>Westonzoyland</v>
          </cell>
          <cell r="C118">
            <v>689.29</v>
          </cell>
          <cell r="E118">
            <v>681.21</v>
          </cell>
          <cell r="F118">
            <v>27557.71</v>
          </cell>
        </row>
        <row r="119">
          <cell r="B119" t="str">
            <v>Woolavington</v>
          </cell>
          <cell r="C119">
            <v>787.06</v>
          </cell>
          <cell r="E119">
            <v>793.48</v>
          </cell>
          <cell r="F119">
            <v>52000</v>
          </cell>
        </row>
        <row r="120">
          <cell r="B120" t="str">
            <v>Ash Priors</v>
          </cell>
          <cell r="C120">
            <v>83.93</v>
          </cell>
          <cell r="E120">
            <v>82.39</v>
          </cell>
          <cell r="F120">
            <v>0</v>
          </cell>
        </row>
        <row r="121">
          <cell r="B121" t="str">
            <v>Ashbrittle</v>
          </cell>
          <cell r="C121">
            <v>103.55</v>
          </cell>
          <cell r="E121">
            <v>98.3</v>
          </cell>
          <cell r="F121">
            <v>2300</v>
          </cell>
        </row>
        <row r="122">
          <cell r="B122" t="str">
            <v>Bathealton</v>
          </cell>
          <cell r="C122">
            <v>91.77</v>
          </cell>
          <cell r="E122">
            <v>87.75</v>
          </cell>
          <cell r="F122">
            <v>1500</v>
          </cell>
        </row>
        <row r="123">
          <cell r="B123" t="str">
            <v>Bicknoller</v>
          </cell>
          <cell r="C123">
            <v>212.27</v>
          </cell>
          <cell r="E123">
            <v>213.45</v>
          </cell>
          <cell r="F123">
            <v>9500</v>
          </cell>
        </row>
        <row r="124">
          <cell r="B124" t="str">
            <v>Bishops Hull</v>
          </cell>
          <cell r="C124">
            <v>1307.26</v>
          </cell>
          <cell r="E124">
            <v>1258.93</v>
          </cell>
          <cell r="F124">
            <v>71000</v>
          </cell>
        </row>
        <row r="125">
          <cell r="B125" t="str">
            <v>Bishops Lydeard/Cothelstone</v>
          </cell>
          <cell r="C125">
            <v>1308.23</v>
          </cell>
          <cell r="E125">
            <v>1283.7</v>
          </cell>
          <cell r="F125">
            <v>82410</v>
          </cell>
        </row>
        <row r="126">
          <cell r="B126" t="str">
            <v>Bradford on Tone</v>
          </cell>
          <cell r="C126">
            <v>309.33999999999997</v>
          </cell>
          <cell r="E126">
            <v>308.51</v>
          </cell>
          <cell r="F126">
            <v>10925</v>
          </cell>
        </row>
        <row r="127">
          <cell r="B127" t="str">
            <v>Brompton Ralph</v>
          </cell>
          <cell r="C127">
            <v>108.86</v>
          </cell>
          <cell r="E127">
            <v>105.64</v>
          </cell>
          <cell r="F127">
            <v>4675</v>
          </cell>
        </row>
        <row r="128">
          <cell r="B128" t="str">
            <v>Brompton Regis</v>
          </cell>
          <cell r="C128">
            <v>231.42</v>
          </cell>
          <cell r="E128">
            <v>230.27</v>
          </cell>
          <cell r="F128">
            <v>5750</v>
          </cell>
        </row>
        <row r="129">
          <cell r="B129" t="str">
            <v>Brushford</v>
          </cell>
          <cell r="C129">
            <v>258.17</v>
          </cell>
          <cell r="E129">
            <v>243.6</v>
          </cell>
          <cell r="F129">
            <v>21000</v>
          </cell>
        </row>
        <row r="130">
          <cell r="B130" t="str">
            <v>Burrowbridge</v>
          </cell>
          <cell r="C130">
            <v>208.02</v>
          </cell>
          <cell r="E130">
            <v>208.98</v>
          </cell>
          <cell r="F130">
            <v>10000</v>
          </cell>
        </row>
        <row r="131">
          <cell r="B131" t="str">
            <v>Carhampton</v>
          </cell>
          <cell r="C131">
            <v>389.81</v>
          </cell>
          <cell r="E131">
            <v>372.7</v>
          </cell>
          <cell r="F131">
            <v>22656</v>
          </cell>
        </row>
        <row r="132">
          <cell r="B132" t="str">
            <v>Cheddon Fitzpaine</v>
          </cell>
          <cell r="C132">
            <v>154.53</v>
          </cell>
          <cell r="E132">
            <v>153.97999999999999</v>
          </cell>
          <cell r="F132">
            <v>13605</v>
          </cell>
        </row>
        <row r="133">
          <cell r="B133" t="str">
            <v>Chipstable</v>
          </cell>
          <cell r="C133">
            <v>144.05000000000001</v>
          </cell>
          <cell r="E133">
            <v>139.69999999999999</v>
          </cell>
          <cell r="F133">
            <v>3500</v>
          </cell>
        </row>
        <row r="134">
          <cell r="B134" t="str">
            <v>Churchstanton</v>
          </cell>
          <cell r="C134">
            <v>391.68</v>
          </cell>
          <cell r="E134">
            <v>387.6</v>
          </cell>
          <cell r="F134">
            <v>26444</v>
          </cell>
        </row>
        <row r="135">
          <cell r="B135" t="str">
            <v>Clatworthy</v>
          </cell>
          <cell r="C135">
            <v>41.86</v>
          </cell>
          <cell r="E135">
            <v>40.42</v>
          </cell>
          <cell r="F135">
            <v>1000</v>
          </cell>
        </row>
        <row r="136">
          <cell r="B136" t="str">
            <v>Combe Florey</v>
          </cell>
          <cell r="C136">
            <v>124.88</v>
          </cell>
          <cell r="E136">
            <v>122.87</v>
          </cell>
          <cell r="F136">
            <v>4000</v>
          </cell>
        </row>
        <row r="137">
          <cell r="B137" t="str">
            <v>Corfe</v>
          </cell>
          <cell r="C137">
            <v>141.34</v>
          </cell>
          <cell r="E137">
            <v>141.91999999999999</v>
          </cell>
          <cell r="F137">
            <v>11550</v>
          </cell>
        </row>
        <row r="138">
          <cell r="B138" t="str">
            <v>Cotford St Luke</v>
          </cell>
          <cell r="C138">
            <v>877.4</v>
          </cell>
          <cell r="E138">
            <v>874.67</v>
          </cell>
          <cell r="F138">
            <v>62000</v>
          </cell>
        </row>
        <row r="139">
          <cell r="B139" t="str">
            <v>Creech St Michael</v>
          </cell>
          <cell r="C139">
            <v>1179.1300000000001</v>
          </cell>
          <cell r="E139">
            <v>1167.07</v>
          </cell>
          <cell r="F139">
            <v>90552</v>
          </cell>
        </row>
        <row r="140">
          <cell r="B140" t="str">
            <v>Crowcombe</v>
          </cell>
          <cell r="C140">
            <v>243.05</v>
          </cell>
          <cell r="E140">
            <v>241.33</v>
          </cell>
          <cell r="F140">
            <v>14000</v>
          </cell>
        </row>
        <row r="141">
          <cell r="B141" t="str">
            <v>Cutcombe</v>
          </cell>
          <cell r="C141">
            <v>186.76</v>
          </cell>
          <cell r="E141">
            <v>183.28</v>
          </cell>
          <cell r="F141">
            <v>11200</v>
          </cell>
        </row>
        <row r="142">
          <cell r="B142" t="str">
            <v>Dulverton</v>
          </cell>
          <cell r="C142">
            <v>658.33</v>
          </cell>
          <cell r="E142">
            <v>637.45000000000005</v>
          </cell>
          <cell r="F142">
            <v>92200</v>
          </cell>
        </row>
        <row r="143">
          <cell r="B143" t="str">
            <v>Dunster</v>
          </cell>
          <cell r="C143">
            <v>513.51</v>
          </cell>
          <cell r="E143">
            <v>494.69</v>
          </cell>
          <cell r="F143">
            <v>38000</v>
          </cell>
        </row>
        <row r="144">
          <cell r="B144" t="str">
            <v>Durston</v>
          </cell>
          <cell r="C144">
            <v>58.27</v>
          </cell>
          <cell r="E144">
            <v>58.02</v>
          </cell>
          <cell r="F144">
            <v>2030</v>
          </cell>
        </row>
        <row r="145">
          <cell r="B145" t="str">
            <v>East Quantoxhead</v>
          </cell>
          <cell r="C145">
            <v>49.95</v>
          </cell>
          <cell r="E145">
            <v>46.17</v>
          </cell>
          <cell r="F145">
            <v>0</v>
          </cell>
        </row>
        <row r="146">
          <cell r="B146" t="str">
            <v>Elworthy</v>
          </cell>
          <cell r="C146">
            <v>32.130000000000003</v>
          </cell>
          <cell r="E146">
            <v>32.630000000000003</v>
          </cell>
          <cell r="F146">
            <v>0</v>
          </cell>
        </row>
        <row r="147">
          <cell r="B147" t="str">
            <v>Exford</v>
          </cell>
          <cell r="C147">
            <v>198.27</v>
          </cell>
          <cell r="E147">
            <v>193.35</v>
          </cell>
          <cell r="F147">
            <v>13500</v>
          </cell>
        </row>
        <row r="148">
          <cell r="B148" t="str">
            <v>Exmoor</v>
          </cell>
          <cell r="C148">
            <v>77.209999999999994</v>
          </cell>
          <cell r="E148">
            <v>73.23</v>
          </cell>
          <cell r="F148">
            <v>4500</v>
          </cell>
        </row>
        <row r="149">
          <cell r="B149" t="str">
            <v>Exton</v>
          </cell>
          <cell r="C149">
            <v>98.23</v>
          </cell>
          <cell r="E149">
            <v>98.21</v>
          </cell>
          <cell r="F149">
            <v>6200</v>
          </cell>
        </row>
        <row r="150">
          <cell r="B150" t="str">
            <v>Fitzhead</v>
          </cell>
          <cell r="C150">
            <v>126.37</v>
          </cell>
          <cell r="E150">
            <v>126.83</v>
          </cell>
          <cell r="F150">
            <v>13738</v>
          </cell>
        </row>
        <row r="151">
          <cell r="B151" t="str">
            <v>Halse</v>
          </cell>
          <cell r="C151">
            <v>153.55000000000001</v>
          </cell>
          <cell r="E151">
            <v>150.99</v>
          </cell>
          <cell r="F151">
            <v>8200</v>
          </cell>
        </row>
        <row r="152">
          <cell r="B152" t="str">
            <v>Hatch Beauchamp</v>
          </cell>
          <cell r="C152">
            <v>261.22000000000003</v>
          </cell>
          <cell r="E152">
            <v>260.83999999999997</v>
          </cell>
          <cell r="F152">
            <v>6300</v>
          </cell>
        </row>
        <row r="153">
          <cell r="B153" t="str">
            <v>Holford</v>
          </cell>
          <cell r="C153">
            <v>138.78</v>
          </cell>
          <cell r="E153">
            <v>129.82</v>
          </cell>
          <cell r="F153">
            <v>8300</v>
          </cell>
        </row>
        <row r="154">
          <cell r="B154" t="str">
            <v>Huish Champflower</v>
          </cell>
          <cell r="C154">
            <v>116.32</v>
          </cell>
          <cell r="E154">
            <v>115.37</v>
          </cell>
          <cell r="F154">
            <v>5250</v>
          </cell>
        </row>
        <row r="155">
          <cell r="B155" t="str">
            <v>Kilve</v>
          </cell>
          <cell r="C155">
            <v>198.81</v>
          </cell>
          <cell r="E155">
            <v>190.5</v>
          </cell>
          <cell r="F155">
            <v>11153</v>
          </cell>
        </row>
        <row r="156">
          <cell r="B156" t="str">
            <v>Kingston St Mary</v>
          </cell>
          <cell r="C156">
            <v>503.18</v>
          </cell>
          <cell r="E156">
            <v>496.34</v>
          </cell>
          <cell r="F156">
            <v>19570</v>
          </cell>
        </row>
        <row r="157">
          <cell r="B157" t="str">
            <v>Langford Budville</v>
          </cell>
          <cell r="C157">
            <v>241.85</v>
          </cell>
          <cell r="E157">
            <v>240.59</v>
          </cell>
          <cell r="F157">
            <v>9816</v>
          </cell>
        </row>
        <row r="158">
          <cell r="B158" t="str">
            <v>Luccombe</v>
          </cell>
          <cell r="C158">
            <v>71.739999999999995</v>
          </cell>
          <cell r="E158">
            <v>71.41</v>
          </cell>
          <cell r="F158">
            <v>3650</v>
          </cell>
        </row>
        <row r="159">
          <cell r="B159" t="str">
            <v>Luxborough</v>
          </cell>
          <cell r="C159">
            <v>99.76</v>
          </cell>
          <cell r="E159">
            <v>99.85</v>
          </cell>
          <cell r="F159">
            <v>4859</v>
          </cell>
        </row>
        <row r="160">
          <cell r="B160" t="str">
            <v>Lydeard St Lawrence/Tolland</v>
          </cell>
          <cell r="C160">
            <v>232.3</v>
          </cell>
          <cell r="E160">
            <v>226.65</v>
          </cell>
          <cell r="F160">
            <v>4589.66</v>
          </cell>
        </row>
        <row r="161">
          <cell r="B161" t="str">
            <v>Milverton</v>
          </cell>
          <cell r="C161">
            <v>595.37</v>
          </cell>
          <cell r="E161">
            <v>592.54</v>
          </cell>
          <cell r="F161">
            <v>50200</v>
          </cell>
        </row>
        <row r="162">
          <cell r="B162" t="str">
            <v>Minehead</v>
          </cell>
          <cell r="C162">
            <v>4427.82</v>
          </cell>
          <cell r="E162">
            <v>4342.84</v>
          </cell>
          <cell r="F162">
            <v>931642</v>
          </cell>
        </row>
        <row r="163">
          <cell r="B163" t="str">
            <v>Monksilver</v>
          </cell>
          <cell r="C163">
            <v>61.71</v>
          </cell>
          <cell r="E163">
            <v>61.27</v>
          </cell>
          <cell r="F163">
            <v>2500</v>
          </cell>
        </row>
        <row r="164">
          <cell r="B164" t="str">
            <v>Neroche</v>
          </cell>
          <cell r="C164">
            <v>256.63</v>
          </cell>
          <cell r="E164">
            <v>249.33</v>
          </cell>
          <cell r="F164">
            <v>16000</v>
          </cell>
        </row>
        <row r="165">
          <cell r="B165" t="str">
            <v>Nettlecombe</v>
          </cell>
          <cell r="C165">
            <v>100.26</v>
          </cell>
          <cell r="E165">
            <v>95.87</v>
          </cell>
          <cell r="F165">
            <v>2415</v>
          </cell>
        </row>
        <row r="166">
          <cell r="B166" t="str">
            <v>North Curry</v>
          </cell>
          <cell r="C166">
            <v>789.2</v>
          </cell>
          <cell r="E166">
            <v>779.65</v>
          </cell>
          <cell r="F166">
            <v>26000</v>
          </cell>
        </row>
        <row r="167">
          <cell r="B167" t="str">
            <v>Norton Fitzwarren</v>
          </cell>
          <cell r="C167">
            <v>1370.57</v>
          </cell>
          <cell r="E167">
            <v>1344.31</v>
          </cell>
          <cell r="F167">
            <v>41637</v>
          </cell>
        </row>
        <row r="168">
          <cell r="B168" t="str">
            <v>Nynehead</v>
          </cell>
          <cell r="C168">
            <v>184.02</v>
          </cell>
          <cell r="E168">
            <v>181.95</v>
          </cell>
          <cell r="F168">
            <v>8617</v>
          </cell>
        </row>
        <row r="169">
          <cell r="B169" t="str">
            <v>Oake</v>
          </cell>
          <cell r="C169">
            <v>342.02</v>
          </cell>
          <cell r="E169">
            <v>333.89</v>
          </cell>
          <cell r="F169">
            <v>15000</v>
          </cell>
        </row>
        <row r="170">
          <cell r="B170" t="str">
            <v>Oare</v>
          </cell>
          <cell r="C170">
            <v>42.3</v>
          </cell>
          <cell r="E170">
            <v>38.79</v>
          </cell>
          <cell r="F170">
            <v>0</v>
          </cell>
        </row>
        <row r="171">
          <cell r="B171" t="str">
            <v>Old Cleeve</v>
          </cell>
          <cell r="C171">
            <v>701.32</v>
          </cell>
          <cell r="E171">
            <v>687.62</v>
          </cell>
          <cell r="F171">
            <v>37000</v>
          </cell>
        </row>
        <row r="172">
          <cell r="B172" t="str">
            <v>Otterford</v>
          </cell>
          <cell r="C172">
            <v>195.65</v>
          </cell>
          <cell r="E172">
            <v>194.15</v>
          </cell>
          <cell r="F172">
            <v>0</v>
          </cell>
        </row>
        <row r="173">
          <cell r="B173" t="str">
            <v>Pitminster</v>
          </cell>
          <cell r="C173">
            <v>505.05</v>
          </cell>
          <cell r="E173">
            <v>498.94</v>
          </cell>
          <cell r="F173">
            <v>10600</v>
          </cell>
        </row>
        <row r="174">
          <cell r="B174" t="str">
            <v>Porlock</v>
          </cell>
          <cell r="C174">
            <v>710.01</v>
          </cell>
          <cell r="E174">
            <v>698.3</v>
          </cell>
          <cell r="F174">
            <v>93940</v>
          </cell>
        </row>
        <row r="175">
          <cell r="B175" t="str">
            <v>Ruishton/Thornfalcon</v>
          </cell>
          <cell r="C175">
            <v>605.28</v>
          </cell>
          <cell r="E175">
            <v>584.38</v>
          </cell>
          <cell r="F175">
            <v>40000</v>
          </cell>
        </row>
        <row r="176">
          <cell r="B176" t="str">
            <v>Sampford Arundel</v>
          </cell>
          <cell r="C176">
            <v>138.19999999999999</v>
          </cell>
          <cell r="E176">
            <v>134.72999999999999</v>
          </cell>
          <cell r="F176">
            <v>7500</v>
          </cell>
        </row>
        <row r="177">
          <cell r="B177" t="str">
            <v>Sampford Brett</v>
          </cell>
          <cell r="C177">
            <v>155.41</v>
          </cell>
          <cell r="E177">
            <v>151.75</v>
          </cell>
          <cell r="F177">
            <v>4100</v>
          </cell>
        </row>
        <row r="178">
          <cell r="B178" t="str">
            <v>Selworthy and Minehead Without</v>
          </cell>
          <cell r="C178">
            <v>238.46</v>
          </cell>
          <cell r="E178">
            <v>234.81</v>
          </cell>
          <cell r="F178">
            <v>14500</v>
          </cell>
        </row>
        <row r="179">
          <cell r="B179" t="str">
            <v>Skilgate</v>
          </cell>
          <cell r="C179">
            <v>50.41</v>
          </cell>
          <cell r="E179">
            <v>50.54</v>
          </cell>
          <cell r="F179">
            <v>0</v>
          </cell>
        </row>
        <row r="180">
          <cell r="B180" t="str">
            <v>Stawley</v>
          </cell>
          <cell r="C180">
            <v>159.47</v>
          </cell>
          <cell r="E180">
            <v>157.47999999999999</v>
          </cell>
          <cell r="F180">
            <v>3291</v>
          </cell>
        </row>
        <row r="181">
          <cell r="B181" t="str">
            <v>Stogumber</v>
          </cell>
          <cell r="C181">
            <v>337.88</v>
          </cell>
          <cell r="E181">
            <v>334.04</v>
          </cell>
          <cell r="F181">
            <v>24000</v>
          </cell>
        </row>
        <row r="182">
          <cell r="B182" t="str">
            <v>Stogursey</v>
          </cell>
          <cell r="C182">
            <v>523.19000000000005</v>
          </cell>
          <cell r="E182">
            <v>515.32000000000005</v>
          </cell>
          <cell r="F182">
            <v>38525</v>
          </cell>
        </row>
        <row r="183">
          <cell r="B183" t="str">
            <v>Stoke St Gregory</v>
          </cell>
          <cell r="C183">
            <v>424.34</v>
          </cell>
          <cell r="E183">
            <v>413.6</v>
          </cell>
          <cell r="F183">
            <v>20919.89</v>
          </cell>
        </row>
        <row r="184">
          <cell r="B184" t="str">
            <v>Stoke St Mary</v>
          </cell>
          <cell r="C184">
            <v>218.31</v>
          </cell>
          <cell r="E184">
            <v>212.62</v>
          </cell>
          <cell r="F184">
            <v>11000</v>
          </cell>
        </row>
        <row r="185">
          <cell r="B185" t="str">
            <v>Stringston</v>
          </cell>
          <cell r="C185">
            <v>46.64</v>
          </cell>
          <cell r="E185">
            <v>43.6</v>
          </cell>
          <cell r="F185">
            <v>0</v>
          </cell>
        </row>
        <row r="186">
          <cell r="B186" t="str">
            <v>Taunton</v>
          </cell>
          <cell r="C186">
            <v>20186.949999999997</v>
          </cell>
          <cell r="E186">
            <v>19728.07</v>
          </cell>
          <cell r="F186">
            <v>5904630</v>
          </cell>
        </row>
        <row r="187">
          <cell r="B187" t="str">
            <v>Timberscombe</v>
          </cell>
          <cell r="C187">
            <v>166.24</v>
          </cell>
          <cell r="E187">
            <v>160.05000000000001</v>
          </cell>
          <cell r="F187">
            <v>10256</v>
          </cell>
        </row>
        <row r="188">
          <cell r="B188" t="str">
            <v>Treborough</v>
          </cell>
          <cell r="C188">
            <v>29.61</v>
          </cell>
          <cell r="E188">
            <v>29.83</v>
          </cell>
          <cell r="F188">
            <v>0</v>
          </cell>
        </row>
        <row r="189">
          <cell r="B189" t="str">
            <v>Trull</v>
          </cell>
          <cell r="C189">
            <v>1073.53</v>
          </cell>
          <cell r="E189">
            <v>1026.44</v>
          </cell>
          <cell r="F189">
            <v>36000</v>
          </cell>
        </row>
        <row r="190">
          <cell r="B190" t="str">
            <v>Upton</v>
          </cell>
          <cell r="C190">
            <v>82.01</v>
          </cell>
          <cell r="E190">
            <v>78.55</v>
          </cell>
          <cell r="F190">
            <v>1000</v>
          </cell>
        </row>
        <row r="191">
          <cell r="B191" t="str">
            <v>Watchet</v>
          </cell>
          <cell r="C191">
            <v>1340.41</v>
          </cell>
          <cell r="E191">
            <v>1289.68</v>
          </cell>
          <cell r="F191">
            <v>205093</v>
          </cell>
        </row>
        <row r="192">
          <cell r="B192" t="str">
            <v>Wellington</v>
          </cell>
          <cell r="C192">
            <v>5824.73</v>
          </cell>
          <cell r="E192">
            <v>5685.33</v>
          </cell>
          <cell r="F192">
            <v>945392</v>
          </cell>
        </row>
        <row r="193">
          <cell r="B193" t="str">
            <v>Wellington Without</v>
          </cell>
          <cell r="C193">
            <v>317.86</v>
          </cell>
          <cell r="E193">
            <v>312.10000000000002</v>
          </cell>
          <cell r="F193">
            <v>8500</v>
          </cell>
        </row>
        <row r="194">
          <cell r="B194" t="str">
            <v>West Bagborough</v>
          </cell>
          <cell r="C194">
            <v>182.33</v>
          </cell>
          <cell r="E194">
            <v>176.72</v>
          </cell>
          <cell r="F194">
            <v>7000</v>
          </cell>
        </row>
        <row r="195">
          <cell r="B195" t="str">
            <v>West Buckland</v>
          </cell>
          <cell r="C195">
            <v>451.97</v>
          </cell>
          <cell r="E195">
            <v>447.61</v>
          </cell>
          <cell r="F195">
            <v>11782</v>
          </cell>
        </row>
        <row r="196">
          <cell r="B196" t="str">
            <v>West Hatch</v>
          </cell>
          <cell r="C196">
            <v>137.75</v>
          </cell>
          <cell r="E196">
            <v>134.57</v>
          </cell>
          <cell r="F196">
            <v>4700</v>
          </cell>
        </row>
        <row r="197">
          <cell r="B197" t="str">
            <v>West Monkton</v>
          </cell>
          <cell r="C197">
            <v>2232.04</v>
          </cell>
          <cell r="E197">
            <v>2204.4</v>
          </cell>
          <cell r="F197">
            <v>172995</v>
          </cell>
        </row>
        <row r="198">
          <cell r="B198" t="str">
            <v>West Quantoxhead</v>
          </cell>
          <cell r="C198">
            <v>179.13</v>
          </cell>
          <cell r="E198">
            <v>168.46</v>
          </cell>
          <cell r="F198">
            <v>4375</v>
          </cell>
        </row>
        <row r="199">
          <cell r="B199" t="str">
            <v>Williton</v>
          </cell>
          <cell r="C199">
            <v>1013.02</v>
          </cell>
          <cell r="E199">
            <v>972.66</v>
          </cell>
          <cell r="F199">
            <v>163000</v>
          </cell>
        </row>
        <row r="200">
          <cell r="B200" t="str">
            <v>Winsford</v>
          </cell>
          <cell r="C200">
            <v>169.56</v>
          </cell>
          <cell r="E200">
            <v>163.75</v>
          </cell>
          <cell r="F200">
            <v>9770</v>
          </cell>
        </row>
        <row r="201">
          <cell r="B201" t="str">
            <v>Withycombe</v>
          </cell>
          <cell r="C201">
            <v>127.01</v>
          </cell>
          <cell r="E201">
            <v>124.35</v>
          </cell>
          <cell r="F201">
            <v>8500</v>
          </cell>
        </row>
        <row r="202">
          <cell r="B202" t="str">
            <v>Withypool and Hawkridge</v>
          </cell>
          <cell r="C202">
            <v>119.12</v>
          </cell>
          <cell r="E202">
            <v>118.72</v>
          </cell>
          <cell r="F202">
            <v>7000</v>
          </cell>
        </row>
        <row r="203">
          <cell r="B203" t="str">
            <v>Wiveliscombe</v>
          </cell>
          <cell r="C203">
            <v>1264.0899999999999</v>
          </cell>
          <cell r="E203">
            <v>1255.44</v>
          </cell>
          <cell r="F203">
            <v>70000</v>
          </cell>
        </row>
        <row r="204">
          <cell r="B204" t="str">
            <v>Wootton Courtenay</v>
          </cell>
          <cell r="C204">
            <v>166.32</v>
          </cell>
          <cell r="E204">
            <v>164.65</v>
          </cell>
          <cell r="F204">
            <v>6000</v>
          </cell>
        </row>
        <row r="205">
          <cell r="B205" t="str">
            <v>Abbas and Templecombe</v>
          </cell>
          <cell r="C205">
            <v>625.47</v>
          </cell>
          <cell r="E205">
            <v>604.57000000000005</v>
          </cell>
          <cell r="F205">
            <v>34000</v>
          </cell>
        </row>
        <row r="206">
          <cell r="B206" t="str">
            <v>Aller</v>
          </cell>
          <cell r="C206">
            <v>169.18</v>
          </cell>
          <cell r="E206">
            <v>170.38</v>
          </cell>
          <cell r="F206">
            <v>12900</v>
          </cell>
        </row>
        <row r="207">
          <cell r="B207" t="str">
            <v>Ansford</v>
          </cell>
          <cell r="C207">
            <v>619.55999999999995</v>
          </cell>
          <cell r="E207">
            <v>607.87</v>
          </cell>
          <cell r="F207">
            <v>50730</v>
          </cell>
        </row>
        <row r="208">
          <cell r="B208" t="str">
            <v>Ash</v>
          </cell>
          <cell r="C208">
            <v>283.5</v>
          </cell>
          <cell r="E208">
            <v>278.52</v>
          </cell>
          <cell r="F208">
            <v>50900</v>
          </cell>
        </row>
        <row r="209">
          <cell r="B209" t="str">
            <v xml:space="preserve">Ashill </v>
          </cell>
          <cell r="C209">
            <v>262.56</v>
          </cell>
          <cell r="E209">
            <v>255.26</v>
          </cell>
          <cell r="F209">
            <v>7580</v>
          </cell>
        </row>
        <row r="210">
          <cell r="B210" t="str">
            <v>Babcary</v>
          </cell>
          <cell r="C210">
            <v>130.6</v>
          </cell>
          <cell r="E210">
            <v>123.28</v>
          </cell>
          <cell r="F210">
            <v>4656</v>
          </cell>
        </row>
        <row r="211">
          <cell r="B211" t="str">
            <v>Barrington</v>
          </cell>
          <cell r="C211">
            <v>212.36</v>
          </cell>
          <cell r="E211">
            <v>206.34</v>
          </cell>
          <cell r="F211">
            <v>21180</v>
          </cell>
        </row>
        <row r="212">
          <cell r="B212" t="str">
            <v>Barton St. David</v>
          </cell>
          <cell r="C212">
            <v>247.25</v>
          </cell>
          <cell r="E212">
            <v>241.97</v>
          </cell>
          <cell r="F212">
            <v>11000</v>
          </cell>
        </row>
        <row r="213">
          <cell r="B213" t="str">
            <v>Barwick &amp; Stoford</v>
          </cell>
          <cell r="C213">
            <v>416.41</v>
          </cell>
          <cell r="E213">
            <v>402.9</v>
          </cell>
          <cell r="F213">
            <v>62288.75</v>
          </cell>
        </row>
        <row r="214">
          <cell r="B214" t="str">
            <v>Beercrocombe</v>
          </cell>
          <cell r="C214">
            <v>68.959999999999994</v>
          </cell>
          <cell r="E214">
            <v>65.91</v>
          </cell>
          <cell r="F214">
            <v>1860</v>
          </cell>
        </row>
        <row r="215">
          <cell r="B215" t="str">
            <v>Bratton Seymour</v>
          </cell>
          <cell r="C215">
            <v>57.17</v>
          </cell>
          <cell r="E215">
            <v>55.6</v>
          </cell>
          <cell r="F215">
            <v>0</v>
          </cell>
        </row>
        <row r="216">
          <cell r="B216" t="str">
            <v>Brewham</v>
          </cell>
          <cell r="C216">
            <v>203.69</v>
          </cell>
          <cell r="E216">
            <v>204.49</v>
          </cell>
          <cell r="F216">
            <v>4400</v>
          </cell>
        </row>
        <row r="217">
          <cell r="B217" t="str">
            <v>Broadway</v>
          </cell>
          <cell r="C217">
            <v>366.55</v>
          </cell>
          <cell r="E217">
            <v>362.15</v>
          </cell>
          <cell r="F217">
            <v>31400</v>
          </cell>
        </row>
        <row r="218">
          <cell r="B218" t="str">
            <v>Bruton</v>
          </cell>
          <cell r="C218">
            <v>1005.25</v>
          </cell>
          <cell r="E218">
            <v>982.47</v>
          </cell>
          <cell r="F218">
            <v>181675.12</v>
          </cell>
        </row>
        <row r="219">
          <cell r="B219" t="str">
            <v>Brympton</v>
          </cell>
          <cell r="C219">
            <v>2952.29</v>
          </cell>
          <cell r="E219">
            <v>2916.09</v>
          </cell>
          <cell r="F219">
            <v>80565</v>
          </cell>
        </row>
        <row r="220">
          <cell r="B220" t="str">
            <v>Buckland St. Mary</v>
          </cell>
          <cell r="C220">
            <v>239.77</v>
          </cell>
          <cell r="E220">
            <v>238.07</v>
          </cell>
          <cell r="F220">
            <v>11800</v>
          </cell>
        </row>
        <row r="221">
          <cell r="B221" t="str">
            <v>Alford (Cary Moor)</v>
          </cell>
          <cell r="C221">
            <v>46.71</v>
          </cell>
          <cell r="E221">
            <v>47.12</v>
          </cell>
          <cell r="F221">
            <v>2389</v>
          </cell>
        </row>
        <row r="222">
          <cell r="B222" t="str">
            <v>Lovington (Cary Moor)</v>
          </cell>
          <cell r="C222">
            <v>96.85</v>
          </cell>
          <cell r="E222">
            <v>95.95</v>
          </cell>
          <cell r="F222">
            <v>4863</v>
          </cell>
        </row>
        <row r="223">
          <cell r="B223" t="str">
            <v>North Barrow (Cary Moor)</v>
          </cell>
          <cell r="C223">
            <v>65.989999999999995</v>
          </cell>
          <cell r="E223">
            <v>67.86</v>
          </cell>
          <cell r="F223">
            <v>3440</v>
          </cell>
        </row>
        <row r="224">
          <cell r="B224" t="str">
            <v>South Barrow (Cary Moor)</v>
          </cell>
          <cell r="C224">
            <v>78.89</v>
          </cell>
          <cell r="E224">
            <v>78.08</v>
          </cell>
          <cell r="F224">
            <v>3958</v>
          </cell>
        </row>
        <row r="225">
          <cell r="B225" t="str">
            <v>Castle Cary</v>
          </cell>
          <cell r="C225">
            <v>894.74</v>
          </cell>
          <cell r="E225">
            <v>873.24</v>
          </cell>
          <cell r="F225">
            <v>229142</v>
          </cell>
        </row>
        <row r="226">
          <cell r="B226" t="str">
            <v>Chaffcombe</v>
          </cell>
          <cell r="C226">
            <v>111.91</v>
          </cell>
          <cell r="E226">
            <v>110.91</v>
          </cell>
          <cell r="F226">
            <v>3000</v>
          </cell>
        </row>
        <row r="227">
          <cell r="B227" t="str">
            <v>Chard Town</v>
          </cell>
          <cell r="C227">
            <v>4660.4399999999996</v>
          </cell>
          <cell r="E227">
            <v>4582</v>
          </cell>
          <cell r="F227">
            <v>1151765</v>
          </cell>
        </row>
        <row r="228">
          <cell r="B228" t="str">
            <v>Charlton Horethorne</v>
          </cell>
          <cell r="C228">
            <v>304.33999999999997</v>
          </cell>
          <cell r="E228">
            <v>301.94</v>
          </cell>
          <cell r="F228">
            <v>9918</v>
          </cell>
        </row>
        <row r="229">
          <cell r="B229" t="str">
            <v>Charltons (The)</v>
          </cell>
          <cell r="C229">
            <v>439.11</v>
          </cell>
          <cell r="E229">
            <v>434.6</v>
          </cell>
          <cell r="F229">
            <v>28330</v>
          </cell>
        </row>
        <row r="230">
          <cell r="B230" t="str">
            <v>Charlton Musgrove</v>
          </cell>
          <cell r="C230">
            <v>207.29</v>
          </cell>
          <cell r="E230">
            <v>204.19</v>
          </cell>
          <cell r="F230">
            <v>7600</v>
          </cell>
        </row>
        <row r="231">
          <cell r="B231" t="str">
            <v>Chillington</v>
          </cell>
          <cell r="C231">
            <v>57.89</v>
          </cell>
          <cell r="E231">
            <v>58.4</v>
          </cell>
          <cell r="F231">
            <v>0</v>
          </cell>
        </row>
        <row r="232">
          <cell r="B232" t="str">
            <v>Chilthorne Domer</v>
          </cell>
          <cell r="C232">
            <v>203.15</v>
          </cell>
          <cell r="E232">
            <v>200.47</v>
          </cell>
          <cell r="F232">
            <v>9500</v>
          </cell>
        </row>
        <row r="233">
          <cell r="B233" t="str">
            <v>Chilton Cantelo &amp; Ashington</v>
          </cell>
          <cell r="C233">
            <v>48.52</v>
          </cell>
          <cell r="E233">
            <v>48.32</v>
          </cell>
          <cell r="F233">
            <v>0</v>
          </cell>
        </row>
        <row r="234">
          <cell r="B234" t="str">
            <v>Chiselborough</v>
          </cell>
          <cell r="C234">
            <v>150.87</v>
          </cell>
          <cell r="E234">
            <v>146.71</v>
          </cell>
          <cell r="F234">
            <v>9500</v>
          </cell>
        </row>
        <row r="235">
          <cell r="B235" t="str">
            <v>Closworth</v>
          </cell>
          <cell r="C235">
            <v>91.86</v>
          </cell>
          <cell r="E235">
            <v>92.69</v>
          </cell>
          <cell r="F235">
            <v>0</v>
          </cell>
        </row>
        <row r="236">
          <cell r="B236" t="str">
            <v>Combe St. Nicholas</v>
          </cell>
          <cell r="C236">
            <v>618.35</v>
          </cell>
          <cell r="E236">
            <v>608.96</v>
          </cell>
          <cell r="F236">
            <v>22000</v>
          </cell>
        </row>
        <row r="237">
          <cell r="B237" t="str">
            <v>Compton Dundon</v>
          </cell>
          <cell r="C237">
            <v>350.13</v>
          </cell>
          <cell r="E237">
            <v>328.45</v>
          </cell>
          <cell r="F237">
            <v>46400</v>
          </cell>
        </row>
        <row r="238">
          <cell r="B238" t="str">
            <v>Compton Pauncefoot &amp; Blackford</v>
          </cell>
          <cell r="C238">
            <v>85.29</v>
          </cell>
          <cell r="E238">
            <v>88.28</v>
          </cell>
          <cell r="F238">
            <v>1250</v>
          </cell>
        </row>
        <row r="239">
          <cell r="B239" t="str">
            <v>Corton Denham</v>
          </cell>
          <cell r="C239">
            <v>124.72</v>
          </cell>
          <cell r="E239">
            <v>122.89</v>
          </cell>
          <cell r="F239">
            <v>6500</v>
          </cell>
        </row>
        <row r="240">
          <cell r="B240" t="str">
            <v>Crewkerne Town</v>
          </cell>
          <cell r="C240">
            <v>2603.27</v>
          </cell>
          <cell r="E240">
            <v>2546.69</v>
          </cell>
          <cell r="F240">
            <v>637714</v>
          </cell>
        </row>
        <row r="241">
          <cell r="B241" t="str">
            <v>Cricket St. Thomas</v>
          </cell>
          <cell r="C241">
            <v>40.07</v>
          </cell>
          <cell r="E241">
            <v>40.880000000000003</v>
          </cell>
          <cell r="F241">
            <v>0</v>
          </cell>
        </row>
        <row r="242">
          <cell r="B242" t="str">
            <v>Cucklington</v>
          </cell>
          <cell r="C242">
            <v>100.36</v>
          </cell>
          <cell r="E242">
            <v>97.85</v>
          </cell>
          <cell r="F242">
            <v>3200</v>
          </cell>
        </row>
        <row r="243">
          <cell r="B243" t="str">
            <v>Cudworth</v>
          </cell>
          <cell r="C243">
            <v>29.65</v>
          </cell>
          <cell r="E243">
            <v>29.55</v>
          </cell>
          <cell r="F243">
            <v>0</v>
          </cell>
        </row>
        <row r="244">
          <cell r="B244" t="str">
            <v>Curry Mallet</v>
          </cell>
          <cell r="C244">
            <v>136.75</v>
          </cell>
          <cell r="E244">
            <v>137.6</v>
          </cell>
          <cell r="F244">
            <v>8838</v>
          </cell>
        </row>
        <row r="245">
          <cell r="B245" t="str">
            <v>Curry Rivel</v>
          </cell>
          <cell r="C245">
            <v>986.9</v>
          </cell>
          <cell r="E245">
            <v>989.85</v>
          </cell>
          <cell r="F245">
            <v>89500</v>
          </cell>
        </row>
        <row r="246">
          <cell r="B246" t="str">
            <v>Dinnington</v>
          </cell>
          <cell r="C246">
            <v>36.82</v>
          </cell>
          <cell r="E246">
            <v>31.29</v>
          </cell>
          <cell r="F246">
            <v>0</v>
          </cell>
        </row>
        <row r="247">
          <cell r="B247" t="str">
            <v>Donyatt</v>
          </cell>
          <cell r="C247">
            <v>171.85</v>
          </cell>
          <cell r="E247">
            <v>169.77</v>
          </cell>
          <cell r="F247">
            <v>14463</v>
          </cell>
        </row>
        <row r="248">
          <cell r="B248" t="str">
            <v>Dowlish Wake</v>
          </cell>
          <cell r="C248">
            <v>142.57</v>
          </cell>
          <cell r="E248">
            <v>139.05000000000001</v>
          </cell>
          <cell r="F248">
            <v>4200</v>
          </cell>
        </row>
        <row r="249">
          <cell r="B249" t="str">
            <v>Drayton</v>
          </cell>
          <cell r="C249">
            <v>192.2</v>
          </cell>
          <cell r="E249">
            <v>189.57</v>
          </cell>
          <cell r="F249">
            <v>10103</v>
          </cell>
        </row>
        <row r="250">
          <cell r="B250" t="str">
            <v>East Chinnock</v>
          </cell>
          <cell r="C250">
            <v>231.2</v>
          </cell>
          <cell r="E250">
            <v>229.74</v>
          </cell>
          <cell r="F250">
            <v>12500</v>
          </cell>
        </row>
        <row r="251">
          <cell r="B251" t="str">
            <v>East Coker</v>
          </cell>
          <cell r="C251">
            <v>824.47</v>
          </cell>
          <cell r="E251">
            <v>830.58</v>
          </cell>
          <cell r="F251">
            <v>75160</v>
          </cell>
        </row>
        <row r="252">
          <cell r="B252" t="str">
            <v>Fivehead &amp; Swell</v>
          </cell>
          <cell r="C252">
            <v>284.2</v>
          </cell>
          <cell r="E252">
            <v>277.27999999999997</v>
          </cell>
          <cell r="F252">
            <v>18999</v>
          </cell>
        </row>
        <row r="253">
          <cell r="B253" t="str">
            <v>Hambridge &amp; Westport</v>
          </cell>
          <cell r="C253">
            <v>222.12</v>
          </cell>
          <cell r="E253">
            <v>218.42</v>
          </cell>
          <cell r="F253">
            <v>25873</v>
          </cell>
        </row>
        <row r="254">
          <cell r="B254" t="str">
            <v>Hardington Mandeville</v>
          </cell>
          <cell r="C254">
            <v>286.58999999999997</v>
          </cell>
          <cell r="E254">
            <v>288.07</v>
          </cell>
          <cell r="F254">
            <v>16000</v>
          </cell>
        </row>
        <row r="255">
          <cell r="B255" t="str">
            <v>Haselbury Plucknett</v>
          </cell>
          <cell r="C255">
            <v>301.35000000000002</v>
          </cell>
          <cell r="E255">
            <v>294.33</v>
          </cell>
          <cell r="F255">
            <v>15618</v>
          </cell>
        </row>
        <row r="256">
          <cell r="B256" t="str">
            <v>Henstridge</v>
          </cell>
          <cell r="C256">
            <v>698.43</v>
          </cell>
          <cell r="E256">
            <v>689.4</v>
          </cell>
          <cell r="F256">
            <v>73470</v>
          </cell>
        </row>
        <row r="257">
          <cell r="B257" t="str">
            <v>High Ham</v>
          </cell>
          <cell r="C257">
            <v>432.32</v>
          </cell>
          <cell r="E257">
            <v>420.18</v>
          </cell>
          <cell r="F257">
            <v>41750</v>
          </cell>
        </row>
        <row r="258">
          <cell r="B258" t="str">
            <v>Hinton St. George</v>
          </cell>
          <cell r="C258">
            <v>237.96</v>
          </cell>
          <cell r="E258">
            <v>235.84</v>
          </cell>
          <cell r="F258">
            <v>21462</v>
          </cell>
        </row>
        <row r="259">
          <cell r="B259" t="str">
            <v>Horsington</v>
          </cell>
          <cell r="C259">
            <v>307.70999999999998</v>
          </cell>
          <cell r="E259">
            <v>300.22000000000003</v>
          </cell>
          <cell r="F259">
            <v>14278</v>
          </cell>
        </row>
        <row r="260">
          <cell r="B260" t="str">
            <v>Horton</v>
          </cell>
          <cell r="C260">
            <v>350.51</v>
          </cell>
          <cell r="E260">
            <v>342.45</v>
          </cell>
          <cell r="F260">
            <v>16000</v>
          </cell>
        </row>
        <row r="261">
          <cell r="B261" t="str">
            <v>Huish Episcopi</v>
          </cell>
          <cell r="C261">
            <v>1047.24</v>
          </cell>
          <cell r="E261">
            <v>1035.26</v>
          </cell>
          <cell r="F261">
            <v>88200</v>
          </cell>
        </row>
        <row r="262">
          <cell r="B262" t="str">
            <v>Ilchester</v>
          </cell>
          <cell r="C262">
            <v>772.97</v>
          </cell>
          <cell r="E262">
            <v>752.15</v>
          </cell>
          <cell r="F262">
            <v>35090</v>
          </cell>
        </row>
        <row r="263">
          <cell r="B263" t="str">
            <v>Ilminster Town</v>
          </cell>
          <cell r="C263">
            <v>2138.02</v>
          </cell>
          <cell r="E263">
            <v>2123.77</v>
          </cell>
          <cell r="F263">
            <v>506911</v>
          </cell>
        </row>
        <row r="264">
          <cell r="B264" t="str">
            <v>Ilton</v>
          </cell>
          <cell r="C264">
            <v>344.72</v>
          </cell>
          <cell r="E264">
            <v>341.55</v>
          </cell>
          <cell r="F264">
            <v>55000</v>
          </cell>
        </row>
        <row r="265">
          <cell r="B265" t="str">
            <v>Isle Abbotts</v>
          </cell>
          <cell r="C265">
            <v>90.45</v>
          </cell>
          <cell r="E265">
            <v>89.67</v>
          </cell>
          <cell r="F265">
            <v>9248</v>
          </cell>
        </row>
        <row r="266">
          <cell r="B266" t="str">
            <v>Isle Brewers</v>
          </cell>
          <cell r="C266">
            <v>65.84</v>
          </cell>
          <cell r="E266">
            <v>65.92</v>
          </cell>
          <cell r="F266">
            <v>0</v>
          </cell>
        </row>
        <row r="267">
          <cell r="B267" t="str">
            <v>Keinton Mandeville</v>
          </cell>
          <cell r="C267">
            <v>504.65</v>
          </cell>
          <cell r="E267">
            <v>497.78</v>
          </cell>
          <cell r="F267">
            <v>21804.07</v>
          </cell>
        </row>
        <row r="268">
          <cell r="B268" t="str">
            <v>Kingsbury Episcopi</v>
          </cell>
          <cell r="C268">
            <v>588.94000000000005</v>
          </cell>
          <cell r="E268">
            <v>585.77</v>
          </cell>
          <cell r="F268">
            <v>45760</v>
          </cell>
        </row>
        <row r="269">
          <cell r="B269" t="str">
            <v>Kingsdon</v>
          </cell>
          <cell r="C269">
            <v>190.62</v>
          </cell>
          <cell r="E269">
            <v>188.74</v>
          </cell>
          <cell r="F269">
            <v>25000</v>
          </cell>
        </row>
        <row r="270">
          <cell r="B270" t="str">
            <v>Kingstone</v>
          </cell>
          <cell r="C270">
            <v>57.25</v>
          </cell>
          <cell r="E270">
            <v>57</v>
          </cell>
          <cell r="F270">
            <v>0</v>
          </cell>
        </row>
        <row r="271">
          <cell r="B271" t="str">
            <v>Kingweston</v>
          </cell>
          <cell r="C271">
            <v>29.73</v>
          </cell>
          <cell r="E271">
            <v>29.83</v>
          </cell>
          <cell r="F271">
            <v>1000</v>
          </cell>
        </row>
        <row r="272">
          <cell r="B272" t="str">
            <v>Knowle St. Giles</v>
          </cell>
          <cell r="C272">
            <v>87.25</v>
          </cell>
          <cell r="E272">
            <v>82.76</v>
          </cell>
          <cell r="F272">
            <v>1450</v>
          </cell>
        </row>
        <row r="273">
          <cell r="B273" t="str">
            <v>Langport</v>
          </cell>
          <cell r="C273">
            <v>346.61</v>
          </cell>
          <cell r="E273">
            <v>337.09</v>
          </cell>
          <cell r="F273">
            <v>114795</v>
          </cell>
        </row>
        <row r="274">
          <cell r="B274" t="str">
            <v>Long Load</v>
          </cell>
          <cell r="C274">
            <v>146.72</v>
          </cell>
          <cell r="E274">
            <v>145.94999999999999</v>
          </cell>
          <cell r="F274">
            <v>10021</v>
          </cell>
        </row>
        <row r="275">
          <cell r="B275" t="str">
            <v>Long Sutton</v>
          </cell>
          <cell r="C275">
            <v>399.78</v>
          </cell>
          <cell r="E275">
            <v>398.73</v>
          </cell>
          <cell r="F275">
            <v>53120</v>
          </cell>
        </row>
        <row r="276">
          <cell r="B276" t="str">
            <v>Lopen</v>
          </cell>
          <cell r="C276">
            <v>115.04</v>
          </cell>
          <cell r="E276">
            <v>116.27</v>
          </cell>
          <cell r="F276">
            <v>9568</v>
          </cell>
        </row>
        <row r="277">
          <cell r="B277" t="str">
            <v>Marston Magna</v>
          </cell>
          <cell r="C277">
            <v>204.65</v>
          </cell>
          <cell r="E277">
            <v>205.78</v>
          </cell>
          <cell r="F277">
            <v>10449</v>
          </cell>
        </row>
        <row r="278">
          <cell r="B278" t="str">
            <v>Martock</v>
          </cell>
          <cell r="C278">
            <v>1787.87</v>
          </cell>
          <cell r="E278">
            <v>1767.92</v>
          </cell>
          <cell r="F278">
            <v>485219</v>
          </cell>
        </row>
        <row r="279">
          <cell r="B279" t="str">
            <v>Merriott</v>
          </cell>
          <cell r="C279">
            <v>776.95</v>
          </cell>
          <cell r="E279">
            <v>773.33</v>
          </cell>
          <cell r="F279">
            <v>48000</v>
          </cell>
        </row>
        <row r="280">
          <cell r="B280" t="str">
            <v>Milborne Port</v>
          </cell>
          <cell r="C280">
            <v>1220.99</v>
          </cell>
          <cell r="E280">
            <v>1198.29</v>
          </cell>
          <cell r="F280">
            <v>166411</v>
          </cell>
        </row>
        <row r="281">
          <cell r="B281" t="str">
            <v>Misterton</v>
          </cell>
          <cell r="C281">
            <v>405.16</v>
          </cell>
          <cell r="E281">
            <v>393.08</v>
          </cell>
          <cell r="F281">
            <v>23734</v>
          </cell>
        </row>
        <row r="282">
          <cell r="B282" t="str">
            <v>Montacute</v>
          </cell>
          <cell r="C282">
            <v>266.33</v>
          </cell>
          <cell r="E282">
            <v>258.97000000000003</v>
          </cell>
          <cell r="F282">
            <v>41593</v>
          </cell>
        </row>
        <row r="283">
          <cell r="B283" t="str">
            <v>Muchelney</v>
          </cell>
          <cell r="C283">
            <v>87.71</v>
          </cell>
          <cell r="E283">
            <v>86.65</v>
          </cell>
          <cell r="F283">
            <v>0</v>
          </cell>
        </row>
        <row r="284">
          <cell r="B284" t="str">
            <v>Mudford</v>
          </cell>
          <cell r="C284">
            <v>285.33999999999997</v>
          </cell>
          <cell r="E284">
            <v>286.47000000000003</v>
          </cell>
          <cell r="F284">
            <v>58100</v>
          </cell>
        </row>
        <row r="285">
          <cell r="B285" t="str">
            <v>North Cadbury</v>
          </cell>
          <cell r="C285">
            <v>470.11</v>
          </cell>
          <cell r="E285">
            <v>462.16</v>
          </cell>
          <cell r="F285">
            <v>20011</v>
          </cell>
        </row>
        <row r="286">
          <cell r="B286" t="str">
            <v>Yarlington (North Cadbury)</v>
          </cell>
          <cell r="C286">
            <v>60.71</v>
          </cell>
          <cell r="E286">
            <v>65.58</v>
          </cell>
          <cell r="F286">
            <v>2839</v>
          </cell>
        </row>
        <row r="287">
          <cell r="B287" t="str">
            <v>North Perrott</v>
          </cell>
          <cell r="C287">
            <v>132.24</v>
          </cell>
          <cell r="E287">
            <v>128.41</v>
          </cell>
          <cell r="F287">
            <v>8808</v>
          </cell>
        </row>
        <row r="288">
          <cell r="B288" t="str">
            <v>Holton (North Vale)</v>
          </cell>
          <cell r="C288">
            <v>125.42</v>
          </cell>
          <cell r="E288">
            <v>124.96</v>
          </cell>
          <cell r="F288">
            <v>3298</v>
          </cell>
        </row>
        <row r="289">
          <cell r="B289" t="str">
            <v>Maperton (North Vale)</v>
          </cell>
          <cell r="C289">
            <v>62.83</v>
          </cell>
          <cell r="E289">
            <v>63.36</v>
          </cell>
          <cell r="F289">
            <v>1672</v>
          </cell>
        </row>
        <row r="290">
          <cell r="B290" t="str">
            <v>North Cheriton (North Vale)</v>
          </cell>
          <cell r="C290">
            <v>105.68</v>
          </cell>
          <cell r="E290">
            <v>105.2</v>
          </cell>
          <cell r="F290">
            <v>4851</v>
          </cell>
        </row>
        <row r="291">
          <cell r="B291" t="str">
            <v>Norton sub Hamdon</v>
          </cell>
          <cell r="C291">
            <v>335.84</v>
          </cell>
          <cell r="E291">
            <v>326.3</v>
          </cell>
          <cell r="F291">
            <v>45000</v>
          </cell>
        </row>
        <row r="292">
          <cell r="B292" t="str">
            <v>Odcombe</v>
          </cell>
          <cell r="C292">
            <v>303.63</v>
          </cell>
          <cell r="E292">
            <v>297.33999999999997</v>
          </cell>
          <cell r="F292">
            <v>22793</v>
          </cell>
        </row>
        <row r="293">
          <cell r="B293" t="str">
            <v>Pen Selwood</v>
          </cell>
          <cell r="C293">
            <v>177.03</v>
          </cell>
          <cell r="E293">
            <v>174.14</v>
          </cell>
          <cell r="F293">
            <v>6202</v>
          </cell>
        </row>
        <row r="294">
          <cell r="B294" t="str">
            <v>Pitcombe</v>
          </cell>
          <cell r="C294">
            <v>206.17</v>
          </cell>
          <cell r="E294">
            <v>202.12</v>
          </cell>
          <cell r="F294">
            <v>8020</v>
          </cell>
        </row>
        <row r="295">
          <cell r="B295" t="str">
            <v>Pitney</v>
          </cell>
          <cell r="C295">
            <v>194.15</v>
          </cell>
          <cell r="E295">
            <v>183.95</v>
          </cell>
          <cell r="F295">
            <v>5940</v>
          </cell>
        </row>
        <row r="296">
          <cell r="B296" t="str">
            <v>Puckington</v>
          </cell>
          <cell r="C296">
            <v>52.09</v>
          </cell>
          <cell r="E296">
            <v>53.92</v>
          </cell>
          <cell r="F296">
            <v>0</v>
          </cell>
        </row>
        <row r="297">
          <cell r="B297" t="str">
            <v>Queen Camel</v>
          </cell>
          <cell r="C297">
            <v>344.66</v>
          </cell>
          <cell r="E297">
            <v>346.87</v>
          </cell>
          <cell r="F297">
            <v>24000</v>
          </cell>
        </row>
        <row r="298">
          <cell r="B298" t="str">
            <v>Rimpton</v>
          </cell>
          <cell r="C298">
            <v>119.7</v>
          </cell>
          <cell r="E298">
            <v>117.57</v>
          </cell>
          <cell r="F298">
            <v>8112</v>
          </cell>
        </row>
        <row r="299">
          <cell r="B299" t="str">
            <v>Seavington St. Mary</v>
          </cell>
          <cell r="C299">
            <v>177.46</v>
          </cell>
          <cell r="E299">
            <v>174.64</v>
          </cell>
          <cell r="F299">
            <v>27897.25</v>
          </cell>
        </row>
        <row r="300">
          <cell r="B300" t="str">
            <v>Seavington St. Michael</v>
          </cell>
          <cell r="C300">
            <v>59.48</v>
          </cell>
          <cell r="E300">
            <v>60.01</v>
          </cell>
          <cell r="F300">
            <v>9610.26</v>
          </cell>
        </row>
        <row r="301">
          <cell r="B301" t="str">
            <v>Shepton Beauchamp</v>
          </cell>
          <cell r="C301">
            <v>313.72000000000003</v>
          </cell>
          <cell r="E301">
            <v>304.74</v>
          </cell>
          <cell r="F301">
            <v>40000</v>
          </cell>
        </row>
        <row r="302">
          <cell r="B302" t="str">
            <v>Shepton Montague</v>
          </cell>
          <cell r="C302">
            <v>98.21</v>
          </cell>
          <cell r="E302">
            <v>96.83</v>
          </cell>
          <cell r="F302">
            <v>6000</v>
          </cell>
        </row>
        <row r="303">
          <cell r="B303" t="str">
            <v>Somerton</v>
          </cell>
          <cell r="C303">
            <v>2190.0100000000002</v>
          </cell>
          <cell r="E303">
            <v>2140.0300000000002</v>
          </cell>
          <cell r="F303">
            <v>625592</v>
          </cell>
        </row>
        <row r="304">
          <cell r="B304" t="str">
            <v xml:space="preserve">South Cadbury and Sutton Montis </v>
          </cell>
          <cell r="C304">
            <v>165.12</v>
          </cell>
          <cell r="E304">
            <v>166.05</v>
          </cell>
          <cell r="F304">
            <v>7900</v>
          </cell>
        </row>
        <row r="305">
          <cell r="B305" t="str">
            <v>South Petherton</v>
          </cell>
          <cell r="C305">
            <v>1555.81</v>
          </cell>
          <cell r="E305">
            <v>1552.18</v>
          </cell>
          <cell r="F305">
            <v>297700</v>
          </cell>
        </row>
        <row r="306">
          <cell r="B306" t="str">
            <v>Sparkford</v>
          </cell>
          <cell r="C306">
            <v>362.21</v>
          </cell>
          <cell r="E306">
            <v>364.41</v>
          </cell>
          <cell r="F306">
            <v>19306</v>
          </cell>
        </row>
        <row r="307">
          <cell r="B307" t="str">
            <v>Stocklinch</v>
          </cell>
          <cell r="C307">
            <v>62.32</v>
          </cell>
          <cell r="E307">
            <v>61</v>
          </cell>
          <cell r="F307">
            <v>3000</v>
          </cell>
        </row>
        <row r="308">
          <cell r="B308" t="str">
            <v>Stoke sub Hamdon</v>
          </cell>
          <cell r="C308">
            <v>771.37</v>
          </cell>
          <cell r="E308">
            <v>766.88</v>
          </cell>
          <cell r="F308">
            <v>97280.8</v>
          </cell>
        </row>
        <row r="309">
          <cell r="B309" t="str">
            <v>Stoke Trister &amp; Bayford</v>
          </cell>
          <cell r="C309">
            <v>172.13</v>
          </cell>
          <cell r="E309">
            <v>169.9</v>
          </cell>
          <cell r="F309">
            <v>11000</v>
          </cell>
        </row>
        <row r="310">
          <cell r="B310" t="str">
            <v>Tatworth and Forton</v>
          </cell>
          <cell r="C310">
            <v>1018.47</v>
          </cell>
          <cell r="E310">
            <v>1009.42</v>
          </cell>
          <cell r="F310">
            <v>65000</v>
          </cell>
        </row>
        <row r="311">
          <cell r="B311" t="str">
            <v>Tintinhull</v>
          </cell>
          <cell r="C311">
            <v>356.44</v>
          </cell>
          <cell r="E311">
            <v>359.45</v>
          </cell>
          <cell r="F311">
            <v>49650</v>
          </cell>
        </row>
        <row r="312">
          <cell r="B312" t="str">
            <v>Wambrook</v>
          </cell>
          <cell r="C312">
            <v>95.5</v>
          </cell>
          <cell r="E312">
            <v>95.48</v>
          </cell>
          <cell r="F312">
            <v>0</v>
          </cell>
        </row>
        <row r="313">
          <cell r="B313" t="str">
            <v>Wayford</v>
          </cell>
          <cell r="C313">
            <v>52.74</v>
          </cell>
          <cell r="E313">
            <v>53.79</v>
          </cell>
          <cell r="F313">
            <v>3600</v>
          </cell>
        </row>
        <row r="314">
          <cell r="B314" t="str">
            <v>West Camel</v>
          </cell>
          <cell r="C314">
            <v>191.42</v>
          </cell>
          <cell r="E314">
            <v>187.01</v>
          </cell>
          <cell r="F314">
            <v>11220</v>
          </cell>
        </row>
        <row r="315">
          <cell r="B315" t="str">
            <v>West &amp; Middle Chinnock</v>
          </cell>
          <cell r="C315">
            <v>252.99</v>
          </cell>
          <cell r="E315">
            <v>249.84</v>
          </cell>
          <cell r="F315">
            <v>19500</v>
          </cell>
        </row>
        <row r="316">
          <cell r="B316" t="str">
            <v>West Coker</v>
          </cell>
          <cell r="C316">
            <v>903.66</v>
          </cell>
          <cell r="E316">
            <v>888.2</v>
          </cell>
          <cell r="F316">
            <v>66500</v>
          </cell>
        </row>
        <row r="317">
          <cell r="B317" t="str">
            <v>West Crewkerne</v>
          </cell>
          <cell r="C317">
            <v>234.75</v>
          </cell>
          <cell r="E317">
            <v>225.36</v>
          </cell>
          <cell r="F317">
            <v>6655</v>
          </cell>
        </row>
        <row r="318">
          <cell r="B318" t="str">
            <v>Whitelackington</v>
          </cell>
          <cell r="C318">
            <v>78.14</v>
          </cell>
          <cell r="E318">
            <v>78.400000000000006</v>
          </cell>
          <cell r="F318">
            <v>5000</v>
          </cell>
        </row>
        <row r="319">
          <cell r="B319" t="str">
            <v>Whitestaunton</v>
          </cell>
          <cell r="C319">
            <v>115.22</v>
          </cell>
          <cell r="E319">
            <v>117.96</v>
          </cell>
          <cell r="F319">
            <v>0</v>
          </cell>
        </row>
        <row r="320">
          <cell r="B320" t="str">
            <v>Wincanton Town</v>
          </cell>
          <cell r="C320">
            <v>2283.98</v>
          </cell>
          <cell r="E320">
            <v>2259.9700000000003</v>
          </cell>
          <cell r="F320">
            <v>442352</v>
          </cell>
        </row>
        <row r="321">
          <cell r="B321" t="str">
            <v>Winsham</v>
          </cell>
          <cell r="C321">
            <v>309.89999999999998</v>
          </cell>
          <cell r="E321">
            <v>306.07</v>
          </cell>
          <cell r="F321">
            <v>25400</v>
          </cell>
        </row>
        <row r="322">
          <cell r="B322" t="str">
            <v xml:space="preserve">Yeovil Town </v>
          </cell>
          <cell r="C322">
            <v>9492.17</v>
          </cell>
          <cell r="E322">
            <v>9199.49</v>
          </cell>
          <cell r="F322">
            <v>2537412</v>
          </cell>
        </row>
        <row r="323">
          <cell r="B323" t="str">
            <v>Yeovil Without</v>
          </cell>
          <cell r="C323">
            <v>3234.27</v>
          </cell>
          <cell r="E323">
            <v>3356.58</v>
          </cell>
          <cell r="F323">
            <v>139734</v>
          </cell>
        </row>
        <row r="324">
          <cell r="B324" t="str">
            <v>Yeovilton &amp; District</v>
          </cell>
          <cell r="C324">
            <v>272.74</v>
          </cell>
          <cell r="E324">
            <v>279.72000000000003</v>
          </cell>
          <cell r="F324">
            <v>7234</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udget YTD 2022 23"/>
      <sheetName val="Current Account"/>
      <sheetName val="Grants"/>
      <sheetName val="Deposit"/>
      <sheetName val="Bank Rec"/>
      <sheetName val="P&amp;L"/>
      <sheetName val="Balance Sheet"/>
      <sheetName val="Accruals"/>
      <sheetName val="Asset Register"/>
      <sheetName val="Budget 2022 23"/>
      <sheetName val="WFH Allowance"/>
      <sheetName val="Budget 2023 24"/>
      <sheetName val="Precept workings"/>
      <sheetName val="PWLB Loan"/>
      <sheetName val="New Pavilion"/>
      <sheetName val="VAT CLAIM 3"/>
      <sheetName val="VAT CLAIM 2"/>
      <sheetName val="VAT CLAIM 1"/>
      <sheetName val="PWLB Accounts Accruals"/>
      <sheetName val="Reimbursement claims"/>
    </sheetNames>
    <sheetDataSet>
      <sheetData sheetId="0"/>
      <sheetData sheetId="1">
        <row r="230">
          <cell r="AK230">
            <v>1000</v>
          </cell>
        </row>
      </sheetData>
      <sheetData sheetId="2" refreshError="1"/>
      <sheetData sheetId="3" refreshError="1"/>
      <sheetData sheetId="4" refreshError="1"/>
      <sheetData sheetId="5">
        <row r="48">
          <cell r="E48">
            <v>-382548.27999999997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Katherine Fullerton" id="{BA5EDEAF-BE69-4EB2-A6CF-34E6B58D83EB}" userId="S::KatherineFullerton@WestCokerParishCouncil.onmicrosoft.com::91150b60-8304-4202-acc2-12bdf724cdc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V5" dT="2024-10-31T13:26:43.85" personId="{BA5EDEAF-BE69-4EB2-A6CF-34E6B58D83EB}" id="{9B13EE53-234D-4535-AC77-5231C89FD111}">
    <text>Clerk salary
21.52 x 3.5% = £22.27
70hours  x 22.27 per hour x 12 months = 18706.80 
Rec Grd salary = 10*22.27*12  = £2672.40
Total clerk salary = £21379.20</text>
  </threadedComment>
  <threadedComment ref="CM5" dT="2025-11-17T11:17:43.67" personId="{BA5EDEAF-BE69-4EB2-A6CF-34E6B58D83EB}" id="{72D2077F-5076-46A8-BA3C-B2CCD2FD6EE6}">
    <text xml:space="preserve">What is this for?
</text>
  </threadedComment>
  <threadedComment ref="BS6" dT="2024-10-31T13:37:59.06" personId="{BA5EDEAF-BE69-4EB2-A6CF-34E6B58D83EB}" id="{CE517984-0A76-4936-80BF-AC0EB3154379}">
    <text xml:space="preserve">Based onfull 80 hours monthly = 21.52 x 80 x5mths = £1291.20 for 5 remaining months
</text>
  </threadedComment>
  <threadedComment ref="BV6" dT="2024-10-31T13:44:40.87" personId="{BA5EDEAF-BE69-4EB2-A6CF-34E6B58D83EB}" id="{F33F296A-EA1A-4A1F-B3C3-4A20400B6A13}">
    <text>21.52 x 3.5% cost of living = £22.27
22.27 x 80hours x 12 months = £21379.20
21379.20 - 5000 NI allowance - £16379.20
16379.20 x 15% NI = £2456.88</text>
  </threadedComment>
  <threadedComment ref="BS7" dT="2024-10-31T14:29:23.76" personId="{BA5EDEAF-BE69-4EB2-A6CF-34E6B58D83EB}" id="{91703872-4D1D-4102-B7CE-D0519167F5AB}">
    <text>£2540.20 RG Clerk salary</text>
  </threadedComment>
  <threadedComment ref="CM7" dT="2025-11-17T11:12:23.14" personId="{BA5EDEAF-BE69-4EB2-A6CF-34E6B58D83EB}" id="{08F11448-D40A-47A7-BA7F-95561D0B6180}">
    <text>Spent on footpath &amp; rec grd improvs</text>
  </threadedComment>
  <threadedComment ref="CM8" dT="2025-11-17T11:12:37.46" personId="{BA5EDEAF-BE69-4EB2-A6CF-34E6B58D83EB}" id="{1BE0F13A-E4D6-493C-B604-5ACEB929D945}">
    <text xml:space="preserve">Spent on footpath &amp; rec grd improvs
</text>
  </threadedComment>
  <threadedComment ref="CP8" dT="2025-11-17T11:29:54.88" personId="{BA5EDEAF-BE69-4EB2-A6CF-34E6B58D83EB}" id="{2A174E8D-BCD9-4211-8204-12ED2EEB99F5}">
    <text xml:space="preserve">Towards footpath &amp; rec grd improvs
</text>
  </threadedComment>
  <threadedComment ref="BV15" dT="2024-10-31T13:55:28.76" personId="{BA5EDEAF-BE69-4EB2-A6CF-34E6B58D83EB}" id="{5B999A6A-2447-4B9B-A4A5-BCF851AA15DB}">
    <text>Current cost plus 10%</text>
  </threadedComment>
  <threadedComment ref="BV19" dT="2024-10-31T14:00:38.66" personId="{BA5EDEAF-BE69-4EB2-A6CF-34E6B58D83EB}" id="{5B14E660-0A22-4A28-8E76-25839A50A817}">
    <text>£175 per day x 10% increase = £192.50 x 52 wks = £10,010</text>
  </threadedComment>
  <threadedComment ref="BS24" dT="2024-10-31T14:28:25.36" personId="{BA5EDEAF-BE69-4EB2-A6CF-34E6B58D83EB}" id="{8B21611C-19CF-464C-8044-7459FC2A369A}">
    <text>Includes £2540.20 clerk salary (RG)</text>
  </threadedComment>
  <threadedComment ref="BV24" dT="2024-10-31T13:29:16.24" personId="{BA5EDEAF-BE69-4EB2-A6CF-34E6B58D83EB}" id="{1F9F1A92-AE43-4504-BD2E-5696E7C859ED}">
    <text>Grant figure includes clerk salary @ 10hrs x £22.27 x 12 mths (£2672.40)</text>
  </threadedComment>
  <threadedComment ref="BY24" dT="2025-11-17T11:31:33.21" personId="{BA5EDEAF-BE69-4EB2-A6CF-34E6B58D83EB}" id="{78691F96-0948-4A01-822F-0E706C080360}">
    <text>Balance of rec grd expenditure after using earmarked funds balance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arish.precepts@somerset.gov.u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DEA7-65FB-41FC-923E-DF693463C5AD}">
  <sheetPr>
    <pageSetUpPr fitToPage="1"/>
  </sheetPr>
  <dimension ref="C5:G23"/>
  <sheetViews>
    <sheetView workbookViewId="0">
      <selection activeCell="G27" sqref="G27"/>
    </sheetView>
  </sheetViews>
  <sheetFormatPr defaultRowHeight="14.4" x14ac:dyDescent="0.3"/>
  <cols>
    <col min="3" max="3" width="9.44140625" bestFit="1" customWidth="1"/>
    <col min="4" max="4" width="12.44140625" bestFit="1" customWidth="1"/>
    <col min="6" max="6" width="12.109375" bestFit="1" customWidth="1"/>
  </cols>
  <sheetData>
    <row r="5" spans="3:7" x14ac:dyDescent="0.3">
      <c r="C5" s="195">
        <v>44166</v>
      </c>
    </row>
    <row r="6" spans="3:7" x14ac:dyDescent="0.3">
      <c r="D6" t="s">
        <v>170</v>
      </c>
      <c r="E6" t="s">
        <v>165</v>
      </c>
      <c r="F6" t="s">
        <v>166</v>
      </c>
    </row>
    <row r="7" spans="3:7" x14ac:dyDescent="0.3">
      <c r="C7" t="s">
        <v>164</v>
      </c>
      <c r="D7" t="s">
        <v>169</v>
      </c>
      <c r="E7" s="151">
        <v>22.95</v>
      </c>
      <c r="F7" s="151">
        <f>E7/100*53</f>
        <v>12.163499999999999</v>
      </c>
    </row>
    <row r="8" spans="3:7" x14ac:dyDescent="0.3">
      <c r="C8" t="s">
        <v>167</v>
      </c>
      <c r="D8" t="s">
        <v>168</v>
      </c>
      <c r="E8" s="151">
        <v>25.04</v>
      </c>
      <c r="F8" s="151">
        <f>E8/100*53</f>
        <v>13.2712</v>
      </c>
      <c r="G8" t="s">
        <v>176</v>
      </c>
    </row>
    <row r="9" spans="3:7" x14ac:dyDescent="0.3">
      <c r="C9" t="s">
        <v>171</v>
      </c>
      <c r="D9" t="s">
        <v>172</v>
      </c>
      <c r="E9" s="151">
        <v>110.15</v>
      </c>
      <c r="F9" s="151">
        <f>E9/100*12.32876</f>
        <v>13.580129140000002</v>
      </c>
      <c r="G9" t="s">
        <v>173</v>
      </c>
    </row>
    <row r="10" spans="3:7" x14ac:dyDescent="0.3">
      <c r="D10" t="s">
        <v>174</v>
      </c>
    </row>
    <row r="11" spans="3:7" x14ac:dyDescent="0.3">
      <c r="D11" t="s">
        <v>175</v>
      </c>
    </row>
    <row r="12" spans="3:7" x14ac:dyDescent="0.3">
      <c r="F12" s="151">
        <f>SUM(F7:F9)</f>
        <v>39.014829140000003</v>
      </c>
    </row>
    <row r="15" spans="3:7" x14ac:dyDescent="0.3">
      <c r="C15" s="195">
        <v>45748</v>
      </c>
    </row>
    <row r="17" spans="3:7" x14ac:dyDescent="0.3">
      <c r="D17" t="s">
        <v>170</v>
      </c>
      <c r="E17" t="s">
        <v>165</v>
      </c>
      <c r="F17" t="s">
        <v>166</v>
      </c>
    </row>
    <row r="18" spans="3:7" x14ac:dyDescent="0.3">
      <c r="C18" t="s">
        <v>967</v>
      </c>
      <c r="D18" t="s">
        <v>169</v>
      </c>
      <c r="E18" s="151">
        <v>19</v>
      </c>
      <c r="F18" s="151">
        <f>E18/100*53</f>
        <v>10.07</v>
      </c>
    </row>
    <row r="19" spans="3:7" x14ac:dyDescent="0.3">
      <c r="C19" t="s">
        <v>167</v>
      </c>
      <c r="D19" t="s">
        <v>168</v>
      </c>
      <c r="E19" s="151">
        <v>12.68</v>
      </c>
      <c r="F19" s="151">
        <f>E19/100*53</f>
        <v>6.7203999999999997</v>
      </c>
      <c r="G19" t="s">
        <v>965</v>
      </c>
    </row>
    <row r="20" spans="3:7" x14ac:dyDescent="0.3">
      <c r="C20" t="s">
        <v>171</v>
      </c>
      <c r="D20" t="s">
        <v>172</v>
      </c>
      <c r="E20" s="151">
        <v>205.95</v>
      </c>
      <c r="F20" s="151">
        <f>E20/100*21.918</f>
        <v>45.140120999999994</v>
      </c>
      <c r="G20" t="s">
        <v>966</v>
      </c>
    </row>
    <row r="21" spans="3:7" x14ac:dyDescent="0.3">
      <c r="D21" t="s">
        <v>174</v>
      </c>
      <c r="F21" s="578"/>
    </row>
    <row r="22" spans="3:7" x14ac:dyDescent="0.3">
      <c r="D22" t="s">
        <v>175</v>
      </c>
      <c r="F22" s="578"/>
    </row>
    <row r="23" spans="3:7" x14ac:dyDescent="0.3">
      <c r="F23" s="151">
        <f>SUM(F18:F20)</f>
        <v>61.930520999999992</v>
      </c>
    </row>
  </sheetData>
  <pageMargins left="0.7" right="0.7" top="0.75" bottom="0.75" header="0.3" footer="0.3"/>
  <pageSetup paperSize="9" scale="95"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6B72E-E799-419D-8B6F-F4ADCBD7274A}">
  <sheetPr>
    <pageSetUpPr fitToPage="1"/>
  </sheetPr>
  <dimension ref="B2:I20"/>
  <sheetViews>
    <sheetView workbookViewId="0">
      <selection activeCell="D14" sqref="D14"/>
    </sheetView>
  </sheetViews>
  <sheetFormatPr defaultRowHeight="14.4" x14ac:dyDescent="0.3"/>
  <cols>
    <col min="2" max="2" width="14" customWidth="1"/>
    <col min="3" max="3" width="19.44140625" customWidth="1"/>
    <col min="4" max="4" width="72.44140625" customWidth="1"/>
    <col min="5" max="5" width="12.21875" customWidth="1"/>
    <col min="6" max="6" width="18.44140625" customWidth="1"/>
    <col min="7" max="7" width="19.33203125" customWidth="1"/>
    <col min="8" max="8" width="21" style="3" customWidth="1"/>
    <col min="9" max="9" width="10.88671875" customWidth="1"/>
  </cols>
  <sheetData>
    <row r="2" spans="2:9" ht="21" x14ac:dyDescent="0.4">
      <c r="B2" s="583" t="s">
        <v>1302</v>
      </c>
    </row>
    <row r="4" spans="2:9" ht="15.6" x14ac:dyDescent="0.3">
      <c r="B4" s="584" t="s">
        <v>84</v>
      </c>
      <c r="C4" s="584" t="s">
        <v>800</v>
      </c>
      <c r="D4" s="584" t="s">
        <v>801</v>
      </c>
      <c r="E4" s="584" t="s">
        <v>802</v>
      </c>
      <c r="F4" s="584" t="s">
        <v>805</v>
      </c>
      <c r="G4" s="584" t="s">
        <v>806</v>
      </c>
      <c r="H4" s="735" t="s">
        <v>847</v>
      </c>
      <c r="I4" s="582"/>
    </row>
    <row r="5" spans="2:9" ht="15.6" x14ac:dyDescent="0.3">
      <c r="B5" s="585"/>
      <c r="C5" s="586"/>
      <c r="D5" s="587"/>
      <c r="E5" s="588"/>
      <c r="F5" s="589"/>
      <c r="G5" s="590"/>
      <c r="H5" s="634"/>
      <c r="I5" s="582"/>
    </row>
    <row r="6" spans="2:9" ht="17.399999999999999" x14ac:dyDescent="0.3">
      <c r="B6" s="744">
        <v>46086</v>
      </c>
      <c r="C6" s="745">
        <v>0</v>
      </c>
      <c r="D6" s="746" t="s">
        <v>1286</v>
      </c>
      <c r="E6" s="747" t="s">
        <v>1287</v>
      </c>
      <c r="F6" s="748">
        <v>1489.95</v>
      </c>
      <c r="G6" s="749"/>
      <c r="H6" s="749"/>
      <c r="I6" s="582"/>
    </row>
    <row r="7" spans="2:9" ht="17.399999999999999" x14ac:dyDescent="0.3">
      <c r="B7" s="744">
        <v>46086</v>
      </c>
      <c r="C7" s="745">
        <v>0</v>
      </c>
      <c r="D7" s="746" t="s">
        <v>925</v>
      </c>
      <c r="E7" s="747" t="s">
        <v>1287</v>
      </c>
      <c r="F7" s="748">
        <v>46.52</v>
      </c>
      <c r="G7" s="749">
        <f>SUM(F6:F7)</f>
        <v>1536.47</v>
      </c>
      <c r="H7" s="749"/>
      <c r="I7" s="582"/>
    </row>
    <row r="8" spans="2:9" ht="17.399999999999999" x14ac:dyDescent="0.3">
      <c r="B8" s="744">
        <v>46086</v>
      </c>
      <c r="C8" s="745">
        <v>0</v>
      </c>
      <c r="D8" s="746" t="s">
        <v>1288</v>
      </c>
      <c r="E8" s="747" t="s">
        <v>1289</v>
      </c>
      <c r="F8" s="748">
        <v>153.87</v>
      </c>
      <c r="G8" s="749">
        <v>153.87</v>
      </c>
      <c r="H8" s="749"/>
      <c r="I8" s="582"/>
    </row>
    <row r="9" spans="2:9" ht="17.399999999999999" x14ac:dyDescent="0.3">
      <c r="B9" s="744">
        <v>46086</v>
      </c>
      <c r="C9" s="745">
        <v>0</v>
      </c>
      <c r="D9" s="746" t="s">
        <v>1291</v>
      </c>
      <c r="E9" s="747" t="s">
        <v>1290</v>
      </c>
      <c r="F9" s="748">
        <v>425.29</v>
      </c>
      <c r="G9" s="749">
        <v>425.29</v>
      </c>
      <c r="H9" s="749"/>
      <c r="I9" s="582"/>
    </row>
    <row r="10" spans="2:9" ht="17.399999999999999" x14ac:dyDescent="0.3">
      <c r="B10" s="744">
        <v>46086</v>
      </c>
      <c r="C10" s="745">
        <v>0</v>
      </c>
      <c r="D10" s="746" t="s">
        <v>1292</v>
      </c>
      <c r="E10" s="747" t="s">
        <v>1293</v>
      </c>
      <c r="F10" s="748">
        <v>499.06</v>
      </c>
      <c r="G10" s="749">
        <v>499.06</v>
      </c>
      <c r="H10" s="749"/>
      <c r="I10" s="582"/>
    </row>
    <row r="11" spans="2:9" ht="17.399999999999999" x14ac:dyDescent="0.3">
      <c r="B11" s="744">
        <v>46086</v>
      </c>
      <c r="C11" s="745">
        <v>0</v>
      </c>
      <c r="D11" s="746" t="s">
        <v>1276</v>
      </c>
      <c r="E11" s="747" t="s">
        <v>1294</v>
      </c>
      <c r="F11" s="748">
        <v>560.74</v>
      </c>
      <c r="G11" s="749">
        <v>560.74</v>
      </c>
      <c r="H11" s="749"/>
      <c r="I11" s="582"/>
    </row>
    <row r="12" spans="2:9" ht="17.399999999999999" x14ac:dyDescent="0.3">
      <c r="B12" s="744">
        <v>46086</v>
      </c>
      <c r="C12" s="745">
        <v>297094655</v>
      </c>
      <c r="D12" s="746" t="s">
        <v>1295</v>
      </c>
      <c r="E12" s="747" t="s">
        <v>1296</v>
      </c>
      <c r="F12" s="748">
        <v>3252.04</v>
      </c>
      <c r="G12" s="749">
        <v>3252.04</v>
      </c>
      <c r="H12" s="749" t="s">
        <v>1301</v>
      </c>
      <c r="I12" s="582"/>
    </row>
    <row r="13" spans="2:9" ht="17.399999999999999" x14ac:dyDescent="0.3">
      <c r="B13" s="744">
        <v>46086</v>
      </c>
      <c r="C13" s="745">
        <v>634389517</v>
      </c>
      <c r="D13" s="746" t="s">
        <v>1297</v>
      </c>
      <c r="E13" s="747" t="s">
        <v>1298</v>
      </c>
      <c r="F13" s="748">
        <v>7970.04</v>
      </c>
      <c r="G13" s="749">
        <v>7970.04</v>
      </c>
      <c r="H13" s="749" t="s">
        <v>196</v>
      </c>
      <c r="I13" s="582"/>
    </row>
    <row r="14" spans="2:9" ht="17.399999999999999" x14ac:dyDescent="0.3">
      <c r="B14" s="744"/>
      <c r="C14" s="745"/>
      <c r="D14" s="746"/>
      <c r="E14" s="747"/>
      <c r="F14" s="748"/>
      <c r="G14" s="749"/>
      <c r="H14" s="749"/>
      <c r="I14" s="582"/>
    </row>
    <row r="15" spans="2:9" ht="17.399999999999999" x14ac:dyDescent="0.3">
      <c r="B15" s="744"/>
      <c r="C15" s="745"/>
      <c r="D15" s="746"/>
      <c r="E15" s="747"/>
      <c r="F15" s="748"/>
      <c r="G15" s="749"/>
      <c r="H15" s="749"/>
      <c r="I15" s="582"/>
    </row>
    <row r="16" spans="2:9" ht="17.399999999999999" x14ac:dyDescent="0.3">
      <c r="B16" s="744"/>
      <c r="C16" s="745"/>
      <c r="D16" s="746"/>
      <c r="E16" s="747"/>
      <c r="F16" s="748"/>
      <c r="G16" s="749"/>
      <c r="H16" s="749"/>
      <c r="I16" s="582"/>
    </row>
    <row r="17" spans="2:9" ht="17.399999999999999" x14ac:dyDescent="0.3">
      <c r="B17" s="744"/>
      <c r="C17" s="745"/>
      <c r="D17" s="746"/>
      <c r="E17" s="747"/>
      <c r="F17" s="748"/>
      <c r="G17" s="749"/>
      <c r="H17" s="749"/>
      <c r="I17" s="582"/>
    </row>
    <row r="18" spans="2:9" ht="17.399999999999999" x14ac:dyDescent="0.3">
      <c r="B18" s="744"/>
      <c r="C18" s="745"/>
      <c r="D18" s="746"/>
      <c r="E18" s="747"/>
      <c r="F18" s="748"/>
      <c r="G18" s="749"/>
      <c r="H18" s="749"/>
    </row>
    <row r="19" spans="2:9" ht="17.399999999999999" x14ac:dyDescent="0.3">
      <c r="B19" s="744"/>
      <c r="C19" s="745"/>
      <c r="D19" s="746"/>
      <c r="E19" s="747"/>
      <c r="F19" s="748"/>
      <c r="G19" s="749"/>
      <c r="H19" s="749"/>
    </row>
    <row r="20" spans="2:9" ht="17.399999999999999" x14ac:dyDescent="0.3">
      <c r="B20" s="744"/>
      <c r="C20" s="745"/>
      <c r="D20" s="876" t="s">
        <v>1303</v>
      </c>
      <c r="E20" s="877"/>
      <c r="F20" s="878">
        <f>SUM(F6:F13)</f>
        <v>14397.51</v>
      </c>
      <c r="G20" s="878">
        <f>SUM(G6:G13)</f>
        <v>14397.51</v>
      </c>
      <c r="H20" s="749"/>
    </row>
  </sheetData>
  <phoneticPr fontId="47" type="noConversion"/>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X64"/>
  <sheetViews>
    <sheetView zoomScale="87" zoomScaleNormal="87" workbookViewId="0">
      <pane xSplit="1" ySplit="2" topLeftCell="BO38" activePane="bottomRight" state="frozen"/>
      <selection pane="topRight" activeCell="B1" sqref="B1"/>
      <selection pane="bottomLeft" activeCell="A3" sqref="A3"/>
      <selection pane="bottomRight" activeCell="CB46" sqref="A1:CB46"/>
    </sheetView>
  </sheetViews>
  <sheetFormatPr defaultColWidth="10.44140625" defaultRowHeight="30" customHeight="1" x14ac:dyDescent="0.35"/>
  <cols>
    <col min="1" max="1" width="30.77734375" customWidth="1"/>
    <col min="2" max="2" width="10.44140625" hidden="1" customWidth="1"/>
    <col min="3" max="3" width="10.44140625" style="298" hidden="1" customWidth="1"/>
    <col min="4" max="4" width="10.44140625" hidden="1" customWidth="1"/>
    <col min="5" max="5" width="9.6640625" hidden="1" customWidth="1"/>
    <col min="6" max="6" width="10.109375" hidden="1" customWidth="1"/>
    <col min="7" max="7" width="10.44140625" hidden="1" customWidth="1"/>
    <col min="8" max="8" width="10.6640625" hidden="1" customWidth="1"/>
    <col min="9" max="10" width="10.33203125" hidden="1" customWidth="1"/>
    <col min="11" max="11" width="10.44140625" hidden="1" customWidth="1"/>
    <col min="12" max="12" width="10.44140625" style="89" hidden="1" customWidth="1"/>
    <col min="13" max="13" width="10.44140625" style="90" hidden="1" customWidth="1"/>
    <col min="14" max="17" width="10.44140625" hidden="1" customWidth="1"/>
    <col min="18" max="18" width="10.44140625" style="89" hidden="1" customWidth="1"/>
    <col min="19" max="19" width="10.44140625" hidden="1" customWidth="1"/>
    <col min="20" max="24" width="10.44140625" style="90" hidden="1" customWidth="1"/>
    <col min="25" max="25" width="10.6640625" style="9" hidden="1" customWidth="1"/>
    <col min="26" max="26" width="10.5546875" style="90" hidden="1" customWidth="1"/>
    <col min="27" max="27" width="10.44140625" style="90" hidden="1" customWidth="1"/>
    <col min="28" max="28" width="11" style="89" hidden="1" customWidth="1"/>
    <col min="29" max="29" width="10.44140625" style="89" hidden="1" customWidth="1"/>
    <col min="30" max="30" width="10.88671875" style="90" hidden="1" customWidth="1"/>
    <col min="31" max="31" width="39" hidden="1" customWidth="1"/>
    <col min="32" max="32" width="10.44140625" hidden="1" customWidth="1"/>
    <col min="33" max="33" width="9" style="98" hidden="1" customWidth="1"/>
    <col min="34" max="34" width="11.5546875" style="9" hidden="1" customWidth="1"/>
    <col min="35" max="35" width="11.5546875" style="294" hidden="1" customWidth="1"/>
    <col min="36" max="36" width="11.5546875" style="295" hidden="1" customWidth="1"/>
    <col min="37" max="37" width="11.5546875" style="296" hidden="1" customWidth="1"/>
    <col min="38" max="41" width="11.5546875" style="191" hidden="1" customWidth="1"/>
    <col min="42" max="42" width="11.5546875" style="297" hidden="1" customWidth="1"/>
    <col min="43" max="43" width="11.33203125" style="9" hidden="1" customWidth="1"/>
    <col min="44" max="44" width="11.5546875" style="191" hidden="1" customWidth="1"/>
    <col min="45" max="45" width="14.44140625" style="52" hidden="1" customWidth="1"/>
    <col min="46" max="46" width="10.33203125" style="52" hidden="1" customWidth="1"/>
    <col min="47" max="47" width="17.44140625" style="52" hidden="1" customWidth="1"/>
    <col min="48" max="48" width="11.33203125" style="52" hidden="1" customWidth="1"/>
    <col min="49" max="49" width="13.6640625" style="52" hidden="1" customWidth="1"/>
    <col min="50" max="50" width="11.33203125" style="52" hidden="1" customWidth="1"/>
    <col min="51" max="51" width="13.88671875" style="9" hidden="1" customWidth="1"/>
    <col min="52" max="52" width="13.6640625" style="9" hidden="1" customWidth="1"/>
    <col min="53" max="53" width="11.33203125" style="9" hidden="1" customWidth="1"/>
    <col min="54" max="54" width="33.77734375" style="9" hidden="1" customWidth="1"/>
    <col min="55" max="55" width="14.44140625" style="9" hidden="1" customWidth="1"/>
    <col min="56" max="56" width="13.44140625" style="203" hidden="1" customWidth="1"/>
    <col min="57" max="57" width="13.33203125" hidden="1" customWidth="1"/>
    <col min="58" max="58" width="14.6640625" style="191" hidden="1" customWidth="1"/>
    <col min="59" max="59" width="15.6640625" hidden="1" customWidth="1"/>
    <col min="60" max="60" width="15.6640625" style="436" hidden="1" customWidth="1"/>
    <col min="61" max="61" width="15.5546875" style="447" hidden="1" customWidth="1"/>
    <col min="62" max="62" width="16.21875" style="447" hidden="1" customWidth="1"/>
    <col min="63" max="63" width="30.44140625" style="467" hidden="1" customWidth="1"/>
    <col min="64" max="64" width="14.88671875" style="379" hidden="1" customWidth="1"/>
    <col min="65" max="65" width="15" style="452" hidden="1" customWidth="1"/>
    <col min="66" max="66" width="14.77734375" style="416" hidden="1" customWidth="1"/>
    <col min="67" max="67" width="16" style="416" bestFit="1" customWidth="1"/>
    <col min="68" max="68" width="25.6640625" style="159" hidden="1" customWidth="1"/>
    <col min="69" max="69" width="17.88671875" style="466" hidden="1" customWidth="1"/>
    <col min="70" max="70" width="14.88671875" style="379" hidden="1" customWidth="1"/>
    <col min="71" max="71" width="16.44140625" style="379" hidden="1" customWidth="1"/>
    <col min="72" max="72" width="17.5546875" style="379" bestFit="1" customWidth="1"/>
    <col min="73" max="73" width="18.33203125" style="752" hidden="1" customWidth="1"/>
    <col min="74" max="74" width="22.21875" style="625" bestFit="1" customWidth="1"/>
    <col min="75" max="75" width="16" style="874" hidden="1" customWidth="1"/>
    <col min="76" max="77" width="16" style="637" hidden="1" customWidth="1"/>
    <col min="78" max="78" width="17.5546875" style="637" hidden="1" customWidth="1"/>
    <col min="79" max="79" width="16" style="637" bestFit="1" customWidth="1"/>
    <col min="80" max="80" width="17.5546875" style="768" bestFit="1" customWidth="1"/>
    <col min="81" max="81" width="18.33203125" style="593" customWidth="1"/>
    <col min="82" max="82" width="10.6640625" style="159" customWidth="1"/>
    <col min="84" max="84" width="18.88671875" hidden="1" customWidth="1"/>
    <col min="85" max="85" width="12.6640625" hidden="1" customWidth="1"/>
    <col min="86" max="86" width="10.109375" hidden="1" customWidth="1"/>
    <col min="87" max="87" width="11.33203125" hidden="1" customWidth="1"/>
    <col min="88" max="88" width="10.44140625" hidden="1" customWidth="1"/>
    <col min="90" max="90" width="51" customWidth="1"/>
    <col min="91" max="92" width="16" bestFit="1" customWidth="1"/>
    <col min="93" max="93" width="17.6640625" bestFit="1" customWidth="1"/>
    <col min="94" max="94" width="20.109375" bestFit="1" customWidth="1"/>
    <col min="95" max="95" width="16" bestFit="1" customWidth="1"/>
    <col min="96" max="96" width="17.5546875" bestFit="1" customWidth="1"/>
    <col min="97" max="97" width="48.21875" style="848" customWidth="1"/>
    <col min="98" max="98" width="9.33203125" customWidth="1"/>
  </cols>
  <sheetData>
    <row r="1" spans="1:97" ht="30" customHeight="1" thickBot="1" x14ac:dyDescent="0.4">
      <c r="A1" s="407" t="s">
        <v>12</v>
      </c>
      <c r="B1" s="11" t="s">
        <v>13</v>
      </c>
      <c r="C1" s="12" t="s">
        <v>14</v>
      </c>
      <c r="D1" s="13" t="s">
        <v>15</v>
      </c>
      <c r="E1" s="14" t="s">
        <v>14</v>
      </c>
      <c r="F1" s="15" t="s">
        <v>14</v>
      </c>
      <c r="G1" s="11" t="s">
        <v>15</v>
      </c>
      <c r="H1" s="15" t="s">
        <v>14</v>
      </c>
      <c r="I1" s="11" t="s">
        <v>13</v>
      </c>
      <c r="J1" s="15" t="s">
        <v>16</v>
      </c>
      <c r="K1" s="16" t="s">
        <v>17</v>
      </c>
      <c r="L1" s="15" t="s">
        <v>14</v>
      </c>
      <c r="M1" s="17" t="s">
        <v>17</v>
      </c>
      <c r="N1" s="190" t="s">
        <v>18</v>
      </c>
      <c r="O1" s="18" t="s">
        <v>1</v>
      </c>
      <c r="P1" s="18" t="s">
        <v>19</v>
      </c>
      <c r="Q1" s="19" t="s">
        <v>20</v>
      </c>
      <c r="R1" s="20" t="s">
        <v>20</v>
      </c>
      <c r="S1" s="19" t="s">
        <v>21</v>
      </c>
      <c r="T1" s="256" t="s">
        <v>17</v>
      </c>
      <c r="U1" s="15" t="s">
        <v>22</v>
      </c>
      <c r="V1" s="257" t="s">
        <v>23</v>
      </c>
      <c r="W1" s="257" t="s">
        <v>22</v>
      </c>
      <c r="X1" s="257" t="s">
        <v>23</v>
      </c>
      <c r="Y1" s="190" t="s">
        <v>18</v>
      </c>
      <c r="Z1" s="257" t="s">
        <v>23</v>
      </c>
      <c r="AA1" s="256" t="s">
        <v>17</v>
      </c>
      <c r="AB1" s="21" t="s">
        <v>24</v>
      </c>
      <c r="AC1" s="21"/>
      <c r="AD1" s="256" t="s">
        <v>25</v>
      </c>
      <c r="AE1" s="19" t="s">
        <v>20</v>
      </c>
      <c r="AF1" s="258" t="s">
        <v>18</v>
      </c>
      <c r="AG1" s="22"/>
      <c r="AH1" s="256" t="s">
        <v>17</v>
      </c>
      <c r="AI1" s="259"/>
      <c r="AJ1" s="259"/>
      <c r="AK1" s="190" t="s">
        <v>135</v>
      </c>
      <c r="AL1" s="189" t="s">
        <v>136</v>
      </c>
      <c r="AM1" s="189"/>
      <c r="AN1" s="189"/>
      <c r="AO1" s="189"/>
      <c r="AP1" s="260"/>
      <c r="AQ1" s="194" t="s">
        <v>26</v>
      </c>
      <c r="AR1" s="189" t="s">
        <v>18</v>
      </c>
      <c r="AS1" s="194" t="s">
        <v>17</v>
      </c>
      <c r="AT1" s="194"/>
      <c r="AU1" s="194"/>
      <c r="AV1" s="194"/>
      <c r="AW1" s="189" t="s">
        <v>14</v>
      </c>
      <c r="AX1" s="194"/>
      <c r="AY1" s="410" t="s">
        <v>17</v>
      </c>
      <c r="AZ1" s="409" t="s">
        <v>14</v>
      </c>
      <c r="BA1" s="410"/>
      <c r="BB1" s="410"/>
      <c r="BC1" s="410" t="s">
        <v>17</v>
      </c>
      <c r="BD1" s="411"/>
      <c r="BE1" s="727" t="s">
        <v>14</v>
      </c>
      <c r="BF1" s="412" t="s">
        <v>908</v>
      </c>
      <c r="BG1" s="421" t="s">
        <v>17</v>
      </c>
      <c r="BH1" s="432" t="s">
        <v>238</v>
      </c>
      <c r="BI1" s="417" t="s">
        <v>263</v>
      </c>
      <c r="BJ1" s="417" t="s">
        <v>263</v>
      </c>
      <c r="BK1" s="462" t="s">
        <v>257</v>
      </c>
      <c r="BL1" s="727" t="s">
        <v>14</v>
      </c>
      <c r="BM1" s="728" t="s">
        <v>908</v>
      </c>
      <c r="BN1" s="437" t="s">
        <v>885</v>
      </c>
      <c r="BO1" s="437" t="s">
        <v>885</v>
      </c>
      <c r="BP1" s="462" t="s">
        <v>260</v>
      </c>
      <c r="BQ1" s="462" t="s">
        <v>238</v>
      </c>
      <c r="BR1" s="408"/>
      <c r="BS1" s="408"/>
      <c r="BT1" s="727" t="s">
        <v>14</v>
      </c>
      <c r="BU1" s="727" t="s">
        <v>909</v>
      </c>
      <c r="BV1" s="630" t="s">
        <v>885</v>
      </c>
      <c r="BW1" s="869"/>
      <c r="BX1" s="409"/>
      <c r="BY1" s="409"/>
      <c r="BZ1" s="409"/>
      <c r="CA1" s="409"/>
      <c r="CB1" s="410" t="s">
        <v>885</v>
      </c>
      <c r="CC1" s="591" t="s">
        <v>248</v>
      </c>
      <c r="CD1" s="430"/>
      <c r="CE1" s="19"/>
      <c r="CF1" s="226" t="s">
        <v>211</v>
      </c>
      <c r="CH1" s="241"/>
      <c r="CI1" s="241"/>
      <c r="CJ1" s="228">
        <v>44500</v>
      </c>
      <c r="CL1" s="312" t="s">
        <v>1166</v>
      </c>
      <c r="CM1" s="313"/>
      <c r="CN1" s="313"/>
      <c r="CO1" s="313"/>
      <c r="CP1" s="313"/>
      <c r="CQ1" s="314"/>
      <c r="CR1" s="315"/>
      <c r="CS1" s="847" t="s">
        <v>248</v>
      </c>
    </row>
    <row r="2" spans="1:97" ht="78.599999999999994" x14ac:dyDescent="0.35">
      <c r="A2" s="413"/>
      <c r="B2" s="11" t="s">
        <v>27</v>
      </c>
      <c r="C2" s="24" t="s">
        <v>27</v>
      </c>
      <c r="D2" s="13" t="s">
        <v>28</v>
      </c>
      <c r="E2" s="14" t="s">
        <v>29</v>
      </c>
      <c r="F2" s="14" t="s">
        <v>30</v>
      </c>
      <c r="G2" s="13" t="s">
        <v>31</v>
      </c>
      <c r="H2" s="14" t="s">
        <v>32</v>
      </c>
      <c r="I2" s="11" t="s">
        <v>33</v>
      </c>
      <c r="J2" s="15" t="s">
        <v>34</v>
      </c>
      <c r="K2" s="17" t="s">
        <v>35</v>
      </c>
      <c r="L2" s="15" t="s">
        <v>36</v>
      </c>
      <c r="M2" s="17" t="s">
        <v>20</v>
      </c>
      <c r="N2" s="15" t="s">
        <v>20</v>
      </c>
      <c r="O2" s="25" t="s">
        <v>37</v>
      </c>
      <c r="P2" s="25" t="s">
        <v>38</v>
      </c>
      <c r="Q2" s="23" t="s">
        <v>39</v>
      </c>
      <c r="R2" s="25" t="s">
        <v>40</v>
      </c>
      <c r="S2" s="19" t="s">
        <v>41</v>
      </c>
      <c r="T2" s="261" t="s">
        <v>42</v>
      </c>
      <c r="U2" s="15" t="s">
        <v>43</v>
      </c>
      <c r="V2" s="188" t="s">
        <v>44</v>
      </c>
      <c r="W2" s="188" t="s">
        <v>45</v>
      </c>
      <c r="X2" s="188" t="s">
        <v>44</v>
      </c>
      <c r="Y2" s="15" t="s">
        <v>42</v>
      </c>
      <c r="Z2" s="15" t="s">
        <v>44</v>
      </c>
      <c r="AA2" s="17" t="s">
        <v>82</v>
      </c>
      <c r="AB2" s="26" t="s">
        <v>46</v>
      </c>
      <c r="AC2" s="27" t="s">
        <v>47</v>
      </c>
      <c r="AD2" s="16" t="s">
        <v>48</v>
      </c>
      <c r="AE2" s="23" t="s">
        <v>48</v>
      </c>
      <c r="AF2" s="26" t="s">
        <v>82</v>
      </c>
      <c r="AG2" s="28" t="s">
        <v>118</v>
      </c>
      <c r="AH2" s="17" t="s">
        <v>49</v>
      </c>
      <c r="AI2" s="26" t="s">
        <v>125</v>
      </c>
      <c r="AJ2" s="175" t="s">
        <v>126</v>
      </c>
      <c r="AK2" s="26" t="s">
        <v>131</v>
      </c>
      <c r="AL2" s="175" t="s">
        <v>132</v>
      </c>
      <c r="AM2" s="176" t="s">
        <v>144</v>
      </c>
      <c r="AN2" s="176" t="s">
        <v>145</v>
      </c>
      <c r="AO2" s="175" t="s">
        <v>146</v>
      </c>
      <c r="AP2" s="177" t="s">
        <v>151</v>
      </c>
      <c r="AR2" s="192">
        <v>43921</v>
      </c>
      <c r="AS2" s="338" t="s">
        <v>158</v>
      </c>
      <c r="AT2" s="339" t="s">
        <v>163</v>
      </c>
      <c r="AU2" s="339" t="s">
        <v>160</v>
      </c>
      <c r="AV2" s="339" t="s">
        <v>155</v>
      </c>
      <c r="AW2" s="340">
        <v>44286</v>
      </c>
      <c r="AX2" s="341" t="s">
        <v>181</v>
      </c>
      <c r="AY2" s="342" t="s">
        <v>235</v>
      </c>
      <c r="AZ2" s="343">
        <v>44651</v>
      </c>
      <c r="BA2" s="344" t="s">
        <v>201</v>
      </c>
      <c r="BB2" s="344" t="s">
        <v>212</v>
      </c>
      <c r="BC2" s="338" t="s">
        <v>211</v>
      </c>
      <c r="BD2" s="342" t="s">
        <v>213</v>
      </c>
      <c r="BE2" s="729">
        <v>45016</v>
      </c>
      <c r="BF2" s="339" t="s">
        <v>211</v>
      </c>
      <c r="BG2" s="419" t="s">
        <v>243</v>
      </c>
      <c r="BH2" s="443" t="s">
        <v>262</v>
      </c>
      <c r="BI2" s="449" t="s">
        <v>275</v>
      </c>
      <c r="BJ2" s="730">
        <v>45382</v>
      </c>
      <c r="BK2" s="466"/>
      <c r="BL2" s="446" t="s">
        <v>256</v>
      </c>
      <c r="BM2" s="731" t="s">
        <v>23</v>
      </c>
      <c r="BN2" s="441" t="s">
        <v>259</v>
      </c>
      <c r="BO2" s="441" t="s">
        <v>259</v>
      </c>
      <c r="BP2" s="380"/>
      <c r="BQ2" s="631" t="s">
        <v>882</v>
      </c>
      <c r="BR2" s="623" t="s">
        <v>881</v>
      </c>
      <c r="BS2" s="623" t="s">
        <v>883</v>
      </c>
      <c r="BT2" s="446" t="s">
        <v>896</v>
      </c>
      <c r="BU2" s="446" t="s">
        <v>910</v>
      </c>
      <c r="BV2" s="629" t="s">
        <v>872</v>
      </c>
      <c r="BW2" s="870" t="s">
        <v>1161</v>
      </c>
      <c r="BX2" s="339" t="s">
        <v>1199</v>
      </c>
      <c r="BY2" s="339" t="s">
        <v>1164</v>
      </c>
      <c r="BZ2" s="339" t="s">
        <v>1165</v>
      </c>
      <c r="CA2" s="339" t="s">
        <v>1305</v>
      </c>
      <c r="CB2" s="338" t="s">
        <v>1306</v>
      </c>
      <c r="CC2" s="592"/>
      <c r="CD2" s="380"/>
      <c r="CE2" s="6"/>
      <c r="CF2" s="229" t="s">
        <v>17</v>
      </c>
      <c r="CG2" s="227" t="s">
        <v>219</v>
      </c>
      <c r="CH2" s="230"/>
      <c r="CI2" s="230"/>
      <c r="CJ2" s="231">
        <v>68890.179999999993</v>
      </c>
      <c r="CL2" s="842" t="s">
        <v>274</v>
      </c>
      <c r="CM2" s="814"/>
      <c r="CN2" s="814"/>
      <c r="CO2" s="814"/>
      <c r="CP2" s="814"/>
      <c r="CQ2" s="814"/>
      <c r="CR2" s="815">
        <f>CB37</f>
        <v>89145.634950000007</v>
      </c>
      <c r="CS2" s="847"/>
    </row>
    <row r="3" spans="1:97" ht="45.6" customHeight="1" x14ac:dyDescent="0.35">
      <c r="A3" s="413"/>
      <c r="B3" s="11"/>
      <c r="C3" s="24"/>
      <c r="D3" s="13"/>
      <c r="E3" s="14"/>
      <c r="F3" s="14"/>
      <c r="G3" s="13"/>
      <c r="H3" s="14"/>
      <c r="I3" s="11"/>
      <c r="J3" s="15"/>
      <c r="K3" s="17"/>
      <c r="L3" s="15"/>
      <c r="M3" s="17"/>
      <c r="N3" s="262"/>
      <c r="O3" s="29"/>
      <c r="P3" s="29"/>
      <c r="Q3" s="19"/>
      <c r="R3" s="30"/>
      <c r="S3" s="31">
        <f>11/12</f>
        <v>0.91666666666666663</v>
      </c>
      <c r="T3" s="32"/>
      <c r="U3" s="33"/>
      <c r="V3" s="33">
        <f>4/12</f>
        <v>0.33333333333333331</v>
      </c>
      <c r="W3" s="34"/>
      <c r="X3" s="33">
        <f>9/12</f>
        <v>0.75</v>
      </c>
      <c r="Y3" s="35"/>
      <c r="Z3" s="36">
        <f>12/12</f>
        <v>1</v>
      </c>
      <c r="AA3" s="37"/>
      <c r="AB3" s="38"/>
      <c r="AC3" s="39">
        <f>6/12</f>
        <v>0.5</v>
      </c>
      <c r="AD3" s="41"/>
      <c r="AE3" s="19"/>
      <c r="AF3" s="62"/>
      <c r="AG3" s="40">
        <f>12/12</f>
        <v>1</v>
      </c>
      <c r="AH3" s="42"/>
      <c r="AI3" s="263"/>
      <c r="AJ3" s="178">
        <f>4/12</f>
        <v>0.33333333333333331</v>
      </c>
      <c r="AK3" s="62"/>
      <c r="AL3" s="179">
        <f>7/12</f>
        <v>0.58333333333333337</v>
      </c>
      <c r="AM3" s="180"/>
      <c r="AN3" s="180"/>
      <c r="AO3" s="181"/>
      <c r="AP3" s="182"/>
      <c r="AQ3" s="264"/>
      <c r="AR3" s="181"/>
      <c r="AS3" s="345"/>
      <c r="AT3" s="345"/>
      <c r="AU3" s="345"/>
      <c r="AV3" s="345"/>
      <c r="AW3" s="346"/>
      <c r="AX3" s="346"/>
      <c r="AY3" s="345"/>
      <c r="AZ3" s="345"/>
      <c r="BA3" s="347">
        <f>7/12</f>
        <v>0.58333333333333337</v>
      </c>
      <c r="BB3" s="345"/>
      <c r="BC3" s="345"/>
      <c r="BD3" s="348"/>
      <c r="BE3" s="349"/>
      <c r="BF3" s="350"/>
      <c r="BG3" s="418"/>
      <c r="BH3" s="444"/>
      <c r="BI3" s="450"/>
      <c r="BJ3" s="450"/>
      <c r="BL3" s="445"/>
      <c r="BM3" s="732"/>
      <c r="BN3" s="442"/>
      <c r="BO3" s="839"/>
      <c r="BP3" s="783"/>
      <c r="BQ3" s="784"/>
      <c r="BR3" s="785"/>
      <c r="BS3" s="785"/>
      <c r="BT3" s="786"/>
      <c r="BU3" s="787"/>
      <c r="BV3" s="788"/>
      <c r="BW3" s="871"/>
      <c r="BX3" s="789"/>
      <c r="BY3" s="789"/>
      <c r="BZ3" s="789"/>
      <c r="CA3" s="789"/>
      <c r="CB3" s="841"/>
      <c r="CF3" s="232" t="s">
        <v>53</v>
      </c>
      <c r="CG3" s="233">
        <v>44652</v>
      </c>
      <c r="CH3" s="233"/>
      <c r="CI3" s="233"/>
      <c r="CJ3" s="234"/>
      <c r="CL3" s="843" t="s">
        <v>53</v>
      </c>
      <c r="CM3" s="816">
        <v>45748</v>
      </c>
      <c r="CN3" s="817" t="s">
        <v>1187</v>
      </c>
      <c r="CO3" s="817" t="s">
        <v>1186</v>
      </c>
      <c r="CP3" s="818" t="s">
        <v>1188</v>
      </c>
      <c r="CQ3" s="819">
        <v>46113</v>
      </c>
      <c r="CR3" s="820"/>
      <c r="CS3" s="847"/>
    </row>
    <row r="4" spans="1:97" ht="54" x14ac:dyDescent="0.35">
      <c r="A4" s="415" t="s">
        <v>51</v>
      </c>
      <c r="B4" s="44">
        <v>1600</v>
      </c>
      <c r="C4" s="265">
        <v>1309.8699999999999</v>
      </c>
      <c r="D4" s="45">
        <v>1800</v>
      </c>
      <c r="E4" s="46">
        <v>1561.06</v>
      </c>
      <c r="F4" s="46">
        <v>2146.77</v>
      </c>
      <c r="G4" s="45">
        <v>1900</v>
      </c>
      <c r="H4" s="46">
        <v>1905.67</v>
      </c>
      <c r="I4" s="44">
        <v>2200</v>
      </c>
      <c r="J4" s="47">
        <v>1947.34</v>
      </c>
      <c r="K4" s="48">
        <v>2200</v>
      </c>
      <c r="L4" s="49">
        <v>1791.06</v>
      </c>
      <c r="M4" s="50">
        <v>2000</v>
      </c>
      <c r="N4" s="62">
        <v>1840.79</v>
      </c>
      <c r="O4" s="51">
        <v>0</v>
      </c>
      <c r="P4" s="95">
        <f>N4+O4</f>
        <v>1840.79</v>
      </c>
      <c r="Q4" s="52"/>
      <c r="R4" s="53">
        <f>P4+Q4</f>
        <v>1840.79</v>
      </c>
      <c r="S4" s="54">
        <f>R4/M4</f>
        <v>0.92039499999999996</v>
      </c>
      <c r="T4" s="55">
        <v>2000</v>
      </c>
      <c r="U4" s="34">
        <v>553.14</v>
      </c>
      <c r="V4" s="33">
        <f>U4/T4</f>
        <v>0.27656999999999998</v>
      </c>
      <c r="W4" s="34">
        <v>1290.6600000000001</v>
      </c>
      <c r="X4" s="33">
        <f>W4/T4</f>
        <v>0.64533000000000007</v>
      </c>
      <c r="Y4" s="56">
        <v>1475.04</v>
      </c>
      <c r="Z4" s="33">
        <f>Y4/T4</f>
        <v>0.73751999999999995</v>
      </c>
      <c r="AA4" s="55">
        <v>1750</v>
      </c>
      <c r="AB4" s="57">
        <v>766.32</v>
      </c>
      <c r="AC4" s="58">
        <f>AB4/AA4</f>
        <v>0.43789714285714287</v>
      </c>
      <c r="AD4" s="59"/>
      <c r="AE4" s="266" t="s">
        <v>52</v>
      </c>
      <c r="AF4" s="49">
        <v>1149.48</v>
      </c>
      <c r="AG4" s="58">
        <f>AF4/AA4</f>
        <v>0.65684571428571425</v>
      </c>
      <c r="AH4" s="69">
        <v>1750</v>
      </c>
      <c r="AI4" s="267">
        <v>589.08000000000004</v>
      </c>
      <c r="AJ4" s="178">
        <f>AI4/AH4</f>
        <v>0.33661714285714289</v>
      </c>
      <c r="AK4" s="268">
        <v>1178.1600000000001</v>
      </c>
      <c r="AL4" s="179">
        <f>AK4/AH4</f>
        <v>0.67323428571428579</v>
      </c>
      <c r="AM4" s="56">
        <v>572</v>
      </c>
      <c r="AN4" s="56">
        <f>AM4+AK4</f>
        <v>1750.16</v>
      </c>
      <c r="AO4" s="179">
        <f>AN4/AH4</f>
        <v>1.0000914285714286</v>
      </c>
      <c r="AP4" s="183"/>
      <c r="AQ4" s="269"/>
      <c r="AR4" s="56">
        <v>1472.7</v>
      </c>
      <c r="AS4" s="348">
        <v>1800</v>
      </c>
      <c r="AT4" s="351">
        <f>'[1]Current Account'!N156</f>
        <v>1444.1000000000001</v>
      </c>
      <c r="AU4" s="351">
        <v>1516.95</v>
      </c>
      <c r="AV4" s="347">
        <f>AU4/AS4</f>
        <v>0.84275</v>
      </c>
      <c r="AW4" s="352">
        <v>1516.95</v>
      </c>
      <c r="AX4" s="353">
        <f>AW4/AS4</f>
        <v>0.84275</v>
      </c>
      <c r="AY4" s="354">
        <v>2000</v>
      </c>
      <c r="AZ4" s="352">
        <f>'[1]Current Account'!N156</f>
        <v>1444.1000000000001</v>
      </c>
      <c r="BA4" s="353">
        <f>AZ4/AY4</f>
        <v>0.72205000000000008</v>
      </c>
      <c r="BB4" s="355"/>
      <c r="BC4" s="354">
        <v>2200</v>
      </c>
      <c r="BD4" s="356" t="s">
        <v>210</v>
      </c>
      <c r="BE4" s="349">
        <v>1312.08</v>
      </c>
      <c r="BF4" s="350">
        <f>BL4/BC4</f>
        <v>0</v>
      </c>
      <c r="BG4" s="418">
        <v>1600</v>
      </c>
      <c r="BH4" s="433">
        <v>0</v>
      </c>
      <c r="BI4" s="376">
        <v>0</v>
      </c>
      <c r="BJ4" s="376">
        <f t="shared" ref="BJ4:BJ29" si="0">BH4+BI4</f>
        <v>0</v>
      </c>
      <c r="BK4" s="468" t="s">
        <v>258</v>
      </c>
      <c r="BL4" s="445">
        <f>'[2]Current Account'!N172</f>
        <v>0</v>
      </c>
      <c r="BM4" s="733">
        <f>BJ4/BG4</f>
        <v>0</v>
      </c>
      <c r="BN4" s="440">
        <v>0</v>
      </c>
      <c r="BO4" s="840">
        <v>0</v>
      </c>
      <c r="BP4" s="790" t="s">
        <v>261</v>
      </c>
      <c r="BQ4" s="791">
        <v>0</v>
      </c>
      <c r="BR4" s="785">
        <v>0</v>
      </c>
      <c r="BS4" s="792">
        <f t="shared" ref="BS4:BS32" si="1">BR4+BQ4</f>
        <v>0</v>
      </c>
      <c r="BT4" s="793"/>
      <c r="BU4" s="787"/>
      <c r="BV4" s="794">
        <v>0</v>
      </c>
      <c r="BW4" s="872">
        <v>0</v>
      </c>
      <c r="BX4" s="796">
        <v>0</v>
      </c>
      <c r="BY4" s="796">
        <v>0</v>
      </c>
      <c r="BZ4" s="796">
        <v>0</v>
      </c>
      <c r="CA4" s="796">
        <v>0</v>
      </c>
      <c r="CB4" s="808">
        <v>0</v>
      </c>
      <c r="CC4" s="594"/>
      <c r="CD4" s="431"/>
      <c r="CE4" s="311"/>
      <c r="CF4" s="235" t="s">
        <v>191</v>
      </c>
      <c r="CG4" s="236">
        <v>16572</v>
      </c>
      <c r="CH4" s="236"/>
      <c r="CI4" s="236"/>
      <c r="CJ4" s="237"/>
      <c r="CL4" s="844" t="s">
        <v>1189</v>
      </c>
      <c r="CM4" s="817">
        <v>14768.2</v>
      </c>
      <c r="CN4" s="817">
        <v>385</v>
      </c>
      <c r="CO4" s="817">
        <v>14383.2</v>
      </c>
      <c r="CP4" s="817">
        <v>705</v>
      </c>
      <c r="CQ4" s="821">
        <f>CO4-CP4</f>
        <v>13678.2</v>
      </c>
      <c r="CR4" s="820"/>
      <c r="CS4" s="847" t="s">
        <v>1300</v>
      </c>
    </row>
    <row r="5" spans="1:97" ht="109.8" x14ac:dyDescent="0.35">
      <c r="A5" s="415" t="s">
        <v>54</v>
      </c>
      <c r="B5" s="61">
        <v>3062.5</v>
      </c>
      <c r="C5" s="265">
        <v>7483.7</v>
      </c>
      <c r="D5" s="45">
        <v>3120</v>
      </c>
      <c r="E5" s="46">
        <v>7831.44</v>
      </c>
      <c r="F5" s="46">
        <v>7829.44</v>
      </c>
      <c r="G5" s="45">
        <v>7833</v>
      </c>
      <c r="H5" s="46">
        <v>7925.04</v>
      </c>
      <c r="I5" s="44">
        <v>8215</v>
      </c>
      <c r="J5" s="47">
        <v>8209.2000000000007</v>
      </c>
      <c r="K5" s="48">
        <v>8250</v>
      </c>
      <c r="L5" s="62">
        <v>8630.7999999999993</v>
      </c>
      <c r="M5" s="63">
        <v>10018.799999999999</v>
      </c>
      <c r="N5" s="62">
        <v>9868</v>
      </c>
      <c r="O5" s="29">
        <v>0</v>
      </c>
      <c r="P5" s="95">
        <f t="shared" ref="P5:P28" si="2">N5+O5</f>
        <v>9868</v>
      </c>
      <c r="Q5" s="19"/>
      <c r="R5" s="53">
        <f t="shared" ref="R5:R28" si="3">P5+Q5</f>
        <v>9868</v>
      </c>
      <c r="S5" s="54">
        <f>R5/M5</f>
        <v>0.98494829720126165</v>
      </c>
      <c r="T5" s="55">
        <v>7668</v>
      </c>
      <c r="U5" s="34">
        <f>3276.9-787.5</f>
        <v>2489.4</v>
      </c>
      <c r="V5" s="33">
        <f t="shared" ref="V5:V25" si="4">U5/T5</f>
        <v>0.32464788732394367</v>
      </c>
      <c r="W5" s="34">
        <v>5045.3999999999996</v>
      </c>
      <c r="X5" s="33">
        <f t="shared" ref="X5:X25" si="5">W5/T5</f>
        <v>0.65798122065727693</v>
      </c>
      <c r="Y5" s="56">
        <v>7601.4</v>
      </c>
      <c r="Z5" s="33">
        <f>Y5/T5</f>
        <v>0.9913145539906103</v>
      </c>
      <c r="AA5" s="55">
        <v>8000</v>
      </c>
      <c r="AB5" s="65">
        <v>3927.6</v>
      </c>
      <c r="AC5" s="40">
        <f>AB5/AA5</f>
        <v>0.49095</v>
      </c>
      <c r="AD5" s="59"/>
      <c r="AE5" s="19"/>
      <c r="AF5" s="62">
        <v>8042.4</v>
      </c>
      <c r="AG5" s="58">
        <f>AF5/AA5</f>
        <v>1.0052999999999999</v>
      </c>
      <c r="AH5" s="42">
        <v>8500</v>
      </c>
      <c r="AI5" s="263">
        <v>2743.2</v>
      </c>
      <c r="AJ5" s="178">
        <f t="shared" ref="AJ5:AJ37" si="6">AI5/AH5</f>
        <v>0.32272941176470588</v>
      </c>
      <c r="AK5" s="62">
        <v>4800.6000000000004</v>
      </c>
      <c r="AL5" s="179">
        <f t="shared" ref="AL5:AL37" si="7">AK5/AH5</f>
        <v>0.56477647058823532</v>
      </c>
      <c r="AM5" s="56">
        <f>685.8*5</f>
        <v>3429</v>
      </c>
      <c r="AN5" s="56">
        <f>AM5+AK5</f>
        <v>8229.6</v>
      </c>
      <c r="AO5" s="179">
        <f t="shared" ref="AO5:AO37" si="8">AN5/AH5</f>
        <v>0.96818823529411768</v>
      </c>
      <c r="AP5" s="183"/>
      <c r="AQ5" s="264"/>
      <c r="AR5" s="56">
        <v>8229.6</v>
      </c>
      <c r="AS5" s="345">
        <v>8650</v>
      </c>
      <c r="AT5" s="357">
        <f>'[1]Current Account'!P156+'[1]Current Account'!R156</f>
        <v>11696.560000000001</v>
      </c>
      <c r="AU5" s="357">
        <v>5943.99</v>
      </c>
      <c r="AV5" s="347">
        <f t="shared" ref="AV5:AV37" si="9">AU5/AS5</f>
        <v>0.68716647398843933</v>
      </c>
      <c r="AW5" s="352">
        <v>8970.99</v>
      </c>
      <c r="AX5" s="353">
        <f t="shared" ref="AX5:AX37" si="10">AW5/AS5</f>
        <v>1.0371086705202313</v>
      </c>
      <c r="AY5" s="354">
        <v>9600</v>
      </c>
      <c r="AZ5" s="352">
        <f>'[1]Current Account'!P156+'[1]Current Account'!R156</f>
        <v>11696.560000000001</v>
      </c>
      <c r="BA5" s="353">
        <f>AZ5/AY5</f>
        <v>1.2183916666666668</v>
      </c>
      <c r="BB5" s="358" t="s">
        <v>202</v>
      </c>
      <c r="BC5" s="359">
        <v>12000</v>
      </c>
      <c r="BD5" s="360" t="s">
        <v>223</v>
      </c>
      <c r="BE5" s="349">
        <v>14418.46</v>
      </c>
      <c r="BF5" s="350">
        <f>BL5/BC5</f>
        <v>1.4227158333333334</v>
      </c>
      <c r="BG5" s="375">
        <v>13669.6</v>
      </c>
      <c r="BH5" s="434">
        <v>9679.06</v>
      </c>
      <c r="BI5" s="376">
        <f>(70*20.37*4)+540.62+479.71</f>
        <v>6723.93</v>
      </c>
      <c r="BJ5" s="376">
        <f t="shared" si="0"/>
        <v>16402.989999999998</v>
      </c>
      <c r="BK5" s="468" t="s">
        <v>289</v>
      </c>
      <c r="BL5" s="349">
        <f>'[2]Current Account'!Q172+'[2]Current Account'!S172</f>
        <v>17072.59</v>
      </c>
      <c r="BM5" s="733">
        <f>BL5/BG5</f>
        <v>1.2489458360156844</v>
      </c>
      <c r="BN5" s="438">
        <v>19140</v>
      </c>
      <c r="BO5" s="808">
        <v>19140</v>
      </c>
      <c r="BP5" s="1044" t="s">
        <v>1197</v>
      </c>
      <c r="BQ5" s="791">
        <v>10239.799999999999</v>
      </c>
      <c r="BR5" s="785">
        <v>7835.8</v>
      </c>
      <c r="BS5" s="792">
        <f t="shared" si="1"/>
        <v>18075.599999999999</v>
      </c>
      <c r="BT5" s="792">
        <v>18119.2</v>
      </c>
      <c r="BU5" s="798">
        <f>BT5/BO5</f>
        <v>0.94666666666666666</v>
      </c>
      <c r="BV5" s="794">
        <f>22.27*70*12</f>
        <v>18706.8</v>
      </c>
      <c r="BW5" s="879">
        <f>'Current Account'!O184</f>
        <v>18744.420000000006</v>
      </c>
      <c r="BX5" s="796">
        <v>12528.42</v>
      </c>
      <c r="BY5" s="796">
        <f>BX5/8*4</f>
        <v>6264.21</v>
      </c>
      <c r="BZ5" s="796">
        <f>BX5+BY5</f>
        <v>18792.63</v>
      </c>
      <c r="CA5" s="987">
        <v>18744.419999999998</v>
      </c>
      <c r="CB5" s="808">
        <v>19236</v>
      </c>
      <c r="CC5" s="626" t="s">
        <v>1179</v>
      </c>
      <c r="CD5" s="431"/>
      <c r="CF5" s="238"/>
      <c r="CG5" s="241"/>
      <c r="CH5" s="236"/>
      <c r="CI5" s="270"/>
      <c r="CJ5" s="240"/>
      <c r="CL5" s="845" t="s">
        <v>877</v>
      </c>
      <c r="CM5" s="822">
        <v>5231.8</v>
      </c>
      <c r="CN5" s="822"/>
      <c r="CO5" s="822"/>
      <c r="CP5" s="822"/>
      <c r="CQ5" s="823">
        <v>10000</v>
      </c>
      <c r="CR5" s="824"/>
      <c r="CS5" s="848" t="s">
        <v>878</v>
      </c>
    </row>
    <row r="6" spans="1:97" ht="39" customHeight="1" x14ac:dyDescent="0.35">
      <c r="A6" s="415" t="s">
        <v>809</v>
      </c>
      <c r="B6" s="61"/>
      <c r="C6" s="265"/>
      <c r="D6" s="45"/>
      <c r="E6" s="46"/>
      <c r="F6" s="46"/>
      <c r="G6" s="45"/>
      <c r="H6" s="46"/>
      <c r="I6" s="44"/>
      <c r="J6" s="47"/>
      <c r="K6" s="48"/>
      <c r="L6" s="62"/>
      <c r="M6" s="63"/>
      <c r="N6" s="62"/>
      <c r="O6" s="29"/>
      <c r="P6" s="95"/>
      <c r="Q6" s="19"/>
      <c r="R6" s="53"/>
      <c r="S6" s="54"/>
      <c r="T6" s="55"/>
      <c r="U6" s="34"/>
      <c r="V6" s="33"/>
      <c r="W6" s="34"/>
      <c r="X6" s="33"/>
      <c r="Y6" s="56"/>
      <c r="Z6" s="33"/>
      <c r="AA6" s="55"/>
      <c r="AB6" s="65"/>
      <c r="AC6" s="40"/>
      <c r="AD6" s="59"/>
      <c r="AE6" s="19"/>
      <c r="AF6" s="62"/>
      <c r="AG6" s="58"/>
      <c r="AH6" s="42"/>
      <c r="AI6" s="263"/>
      <c r="AJ6" s="178"/>
      <c r="AK6" s="62"/>
      <c r="AL6" s="179"/>
      <c r="AM6" s="56"/>
      <c r="AN6" s="56"/>
      <c r="AO6" s="179"/>
      <c r="AP6" s="183"/>
      <c r="AQ6" s="264"/>
      <c r="AR6" s="56"/>
      <c r="AS6" s="345"/>
      <c r="AT6" s="357"/>
      <c r="AU6" s="357"/>
      <c r="AV6" s="347"/>
      <c r="AW6" s="352"/>
      <c r="AX6" s="353"/>
      <c r="AY6" s="354"/>
      <c r="AZ6" s="352"/>
      <c r="BA6" s="353"/>
      <c r="BB6" s="358"/>
      <c r="BC6" s="359"/>
      <c r="BD6" s="360"/>
      <c r="BE6" s="349"/>
      <c r="BF6" s="350"/>
      <c r="BG6" s="375"/>
      <c r="BH6" s="434"/>
      <c r="BI6" s="376"/>
      <c r="BJ6" s="376"/>
      <c r="BK6" s="468"/>
      <c r="BL6" s="349"/>
      <c r="BM6" s="733"/>
      <c r="BN6" s="438"/>
      <c r="BO6" s="808"/>
      <c r="BP6" s="1045"/>
      <c r="BQ6" s="791">
        <v>882.91</v>
      </c>
      <c r="BR6" s="785">
        <v>1291.2</v>
      </c>
      <c r="BS6" s="792">
        <f t="shared" si="1"/>
        <v>2174.11</v>
      </c>
      <c r="BT6" s="792">
        <v>1595.72</v>
      </c>
      <c r="BU6" s="798"/>
      <c r="BV6" s="794">
        <f>16379.2*15%</f>
        <v>2456.88</v>
      </c>
      <c r="BW6" s="879">
        <f>'Current Account'!Q184</f>
        <v>2451.6199999999994</v>
      </c>
      <c r="BX6" s="796">
        <v>1636.22</v>
      </c>
      <c r="BY6" s="796">
        <v>810.58</v>
      </c>
      <c r="BZ6" s="796">
        <f t="shared" ref="BZ6:BZ36" si="11">BX6+BY6</f>
        <v>2446.8000000000002</v>
      </c>
      <c r="CA6" s="987">
        <v>2451.62</v>
      </c>
      <c r="CB6" s="808">
        <v>2547.6</v>
      </c>
      <c r="CC6" s="627" t="s">
        <v>873</v>
      </c>
      <c r="CD6" s="431"/>
      <c r="CF6" s="238"/>
      <c r="CG6" s="241"/>
      <c r="CH6" s="236"/>
      <c r="CI6" s="270"/>
      <c r="CJ6" s="240"/>
      <c r="CL6" s="844" t="s">
        <v>876</v>
      </c>
      <c r="CM6" s="825">
        <v>35788.14</v>
      </c>
      <c r="CN6" s="825">
        <v>0</v>
      </c>
      <c r="CO6" s="825">
        <v>35788.14</v>
      </c>
      <c r="CP6" s="825"/>
      <c r="CQ6" s="825">
        <v>35788.14</v>
      </c>
      <c r="CR6" s="824"/>
      <c r="CS6" s="848" t="s">
        <v>1198</v>
      </c>
    </row>
    <row r="7" spans="1:97" ht="34.200000000000003" customHeight="1" x14ac:dyDescent="0.35">
      <c r="A7" s="526" t="s">
        <v>290</v>
      </c>
      <c r="B7" s="485"/>
      <c r="C7" s="486"/>
      <c r="D7" s="487"/>
      <c r="E7" s="488"/>
      <c r="F7" s="488"/>
      <c r="G7" s="487"/>
      <c r="H7" s="488"/>
      <c r="I7" s="485"/>
      <c r="J7" s="489"/>
      <c r="K7" s="490"/>
      <c r="L7" s="491"/>
      <c r="M7" s="492"/>
      <c r="N7" s="491"/>
      <c r="O7" s="493"/>
      <c r="P7" s="494"/>
      <c r="Q7" s="495"/>
      <c r="R7" s="496"/>
      <c r="S7" s="497"/>
      <c r="T7" s="498"/>
      <c r="U7" s="499"/>
      <c r="V7" s="500"/>
      <c r="W7" s="499"/>
      <c r="X7" s="500"/>
      <c r="Y7" s="501"/>
      <c r="Z7" s="500"/>
      <c r="AA7" s="498"/>
      <c r="AB7" s="527"/>
      <c r="AC7" s="503"/>
      <c r="AD7" s="504"/>
      <c r="AE7" s="495"/>
      <c r="AF7" s="491"/>
      <c r="AG7" s="503"/>
      <c r="AH7" s="528"/>
      <c r="AI7" s="529"/>
      <c r="AJ7" s="508"/>
      <c r="AK7" s="491"/>
      <c r="AL7" s="510"/>
      <c r="AM7" s="501"/>
      <c r="AN7" s="501"/>
      <c r="AO7" s="510"/>
      <c r="AP7" s="511"/>
      <c r="AQ7" s="530"/>
      <c r="AR7" s="501"/>
      <c r="AS7" s="531"/>
      <c r="AT7" s="532"/>
      <c r="AU7" s="532"/>
      <c r="AV7" s="515"/>
      <c r="AW7" s="516"/>
      <c r="AX7" s="517"/>
      <c r="AY7" s="518"/>
      <c r="AZ7" s="516"/>
      <c r="BA7" s="517"/>
      <c r="BB7" s="533"/>
      <c r="BC7" s="534"/>
      <c r="BD7" s="520"/>
      <c r="BE7" s="349"/>
      <c r="BF7" s="515"/>
      <c r="BG7" s="522">
        <v>2324.4</v>
      </c>
      <c r="BH7" s="523">
        <v>1549.6</v>
      </c>
      <c r="BI7" s="524">
        <f>(10*20.37*4)+80</f>
        <v>894.80000000000007</v>
      </c>
      <c r="BJ7" s="376">
        <f t="shared" si="0"/>
        <v>2444.4</v>
      </c>
      <c r="BK7" s="468" t="s">
        <v>288</v>
      </c>
      <c r="BL7" s="521">
        <f>'[2]Current Account'!AM172</f>
        <v>2324.4</v>
      </c>
      <c r="BM7" s="733">
        <f t="shared" ref="BM7:BM37" si="12">BL7/BG7</f>
        <v>1</v>
      </c>
      <c r="BN7" s="525">
        <v>2640</v>
      </c>
      <c r="BO7" s="808"/>
      <c r="BP7" s="1046"/>
      <c r="BQ7" s="799"/>
      <c r="BR7" s="800"/>
      <c r="BS7" s="792">
        <f t="shared" si="1"/>
        <v>0</v>
      </c>
      <c r="BT7" s="792"/>
      <c r="BU7" s="798"/>
      <c r="BV7" s="794"/>
      <c r="BW7" s="872"/>
      <c r="BX7" s="796"/>
      <c r="BY7" s="796"/>
      <c r="BZ7" s="796">
        <f t="shared" si="11"/>
        <v>0</v>
      </c>
      <c r="CA7" s="987"/>
      <c r="CB7" s="808"/>
      <c r="CC7" s="624"/>
      <c r="CD7" s="595"/>
      <c r="CF7" s="238"/>
      <c r="CG7" s="241"/>
      <c r="CH7" s="236"/>
      <c r="CI7" s="270"/>
      <c r="CJ7" s="240"/>
      <c r="CL7" s="844" t="s">
        <v>239</v>
      </c>
      <c r="CM7" s="825">
        <v>10000</v>
      </c>
      <c r="CN7" s="825">
        <v>10000</v>
      </c>
      <c r="CO7" s="825">
        <v>0</v>
      </c>
      <c r="CP7" s="825">
        <v>10000</v>
      </c>
      <c r="CQ7" s="823">
        <v>0</v>
      </c>
      <c r="CR7" s="826"/>
    </row>
    <row r="8" spans="1:97" ht="30" customHeight="1" x14ac:dyDescent="0.35">
      <c r="A8" s="415" t="s">
        <v>808</v>
      </c>
      <c r="B8" s="61">
        <v>4560.72</v>
      </c>
      <c r="C8" s="265" t="s">
        <v>55</v>
      </c>
      <c r="D8" s="45">
        <v>4851</v>
      </c>
      <c r="E8" s="46" t="s">
        <v>55</v>
      </c>
      <c r="F8" s="46"/>
      <c r="G8" s="45" t="s">
        <v>55</v>
      </c>
      <c r="H8" s="46"/>
      <c r="I8" s="44"/>
      <c r="J8" s="47"/>
      <c r="K8" s="48"/>
      <c r="L8" s="62"/>
      <c r="M8" s="63"/>
      <c r="N8" s="62"/>
      <c r="O8" s="29">
        <v>0</v>
      </c>
      <c r="P8" s="95">
        <f t="shared" si="2"/>
        <v>0</v>
      </c>
      <c r="Q8" s="19"/>
      <c r="R8" s="53">
        <f t="shared" si="3"/>
        <v>0</v>
      </c>
      <c r="S8" s="54"/>
      <c r="T8" s="55"/>
      <c r="U8" s="34"/>
      <c r="V8" s="33"/>
      <c r="W8" s="34">
        <v>0</v>
      </c>
      <c r="X8" s="33"/>
      <c r="Y8" s="56"/>
      <c r="Z8" s="33"/>
      <c r="AA8" s="55"/>
      <c r="AB8" s="64"/>
      <c r="AC8" s="40"/>
      <c r="AD8" s="59"/>
      <c r="AE8" s="19"/>
      <c r="AF8" s="62"/>
      <c r="AG8" s="58"/>
      <c r="AH8" s="42"/>
      <c r="AI8" s="263">
        <v>448.5</v>
      </c>
      <c r="AJ8" s="178"/>
      <c r="AK8" s="62">
        <v>897</v>
      </c>
      <c r="AL8" s="179"/>
      <c r="AM8" s="56">
        <f>149.5*5</f>
        <v>747.5</v>
      </c>
      <c r="AN8" s="56">
        <f t="shared" ref="AN8:AN28" si="13">AM8+AK8</f>
        <v>1644.5</v>
      </c>
      <c r="AO8" s="179"/>
      <c r="AP8" s="183"/>
      <c r="AQ8" s="264"/>
      <c r="AR8" s="56">
        <v>1644.5</v>
      </c>
      <c r="AS8" s="345">
        <v>1850</v>
      </c>
      <c r="AT8" s="357">
        <f>'[1]Current Account'!Q156</f>
        <v>2591.5300000000002</v>
      </c>
      <c r="AU8" s="357">
        <v>1406.5</v>
      </c>
      <c r="AV8" s="347">
        <f t="shared" si="9"/>
        <v>0.76027027027027028</v>
      </c>
      <c r="AW8" s="352">
        <v>2018.54</v>
      </c>
      <c r="AX8" s="353">
        <f t="shared" si="10"/>
        <v>1.0911027027027027</v>
      </c>
      <c r="AY8" s="354">
        <v>2000</v>
      </c>
      <c r="AZ8" s="352">
        <f>'[1]Current Account'!Q156+'[1]Current Account'!T156</f>
        <v>2598.5300000000002</v>
      </c>
      <c r="BA8" s="353">
        <f t="shared" ref="BA8:BA37" si="14">AZ8/AY8</f>
        <v>1.2992650000000001</v>
      </c>
      <c r="BB8" s="358" t="s">
        <v>203</v>
      </c>
      <c r="BC8" s="359">
        <v>2436</v>
      </c>
      <c r="BD8" s="361" t="s">
        <v>217</v>
      </c>
      <c r="BE8" s="349">
        <v>3177.24</v>
      </c>
      <c r="BF8" s="350">
        <f>BL8/BC8</f>
        <v>1.5978243021346472</v>
      </c>
      <c r="BG8" s="375">
        <v>3647</v>
      </c>
      <c r="BH8" s="434">
        <v>2209.66</v>
      </c>
      <c r="BI8" s="376">
        <f>BI5/100*22.3</f>
        <v>1499.4363900000001</v>
      </c>
      <c r="BJ8" s="376">
        <f t="shared" si="0"/>
        <v>3709.0963899999997</v>
      </c>
      <c r="BL8" s="349">
        <f>'[2]Current Account'!R172</f>
        <v>3892.3000000000006</v>
      </c>
      <c r="BM8" s="733">
        <f t="shared" si="12"/>
        <v>1.0672607622703594</v>
      </c>
      <c r="BN8" s="438">
        <f>21780/100*22.3</f>
        <v>4856.9400000000005</v>
      </c>
      <c r="BO8" s="808">
        <v>4856.9399999999996</v>
      </c>
      <c r="BP8" s="783" t="s">
        <v>295</v>
      </c>
      <c r="BQ8" s="801">
        <v>2610.02</v>
      </c>
      <c r="BR8" s="802">
        <f>(BR5+1045)*22.3%</f>
        <v>1980.4183999999998</v>
      </c>
      <c r="BS8" s="792">
        <f t="shared" si="1"/>
        <v>4590.4384</v>
      </c>
      <c r="BT8" s="792">
        <v>4607.22</v>
      </c>
      <c r="BU8" s="798">
        <f>BT8/BO8</f>
        <v>0.94858491148747992</v>
      </c>
      <c r="BV8" s="794">
        <f>21379.2*22.3%</f>
        <v>4767.5616</v>
      </c>
      <c r="BW8" s="879">
        <f>'Current Account'!P184</f>
        <v>4752.6000000000013</v>
      </c>
      <c r="BX8" s="796">
        <v>3168.4</v>
      </c>
      <c r="BY8" s="796">
        <f>BY5/100*22.3</f>
        <v>1396.9188300000001</v>
      </c>
      <c r="BZ8" s="796">
        <f t="shared" si="11"/>
        <v>4565.3188300000002</v>
      </c>
      <c r="CA8" s="987">
        <v>4752.6000000000004</v>
      </c>
      <c r="CB8" s="808">
        <f>21984/100*22.3</f>
        <v>4902.4319999999998</v>
      </c>
      <c r="CC8" s="628" t="s">
        <v>1173</v>
      </c>
      <c r="CF8" s="238"/>
      <c r="CG8" s="241"/>
      <c r="CH8" s="236"/>
      <c r="CI8" s="270"/>
      <c r="CJ8" s="240"/>
      <c r="CL8" s="844" t="s">
        <v>244</v>
      </c>
      <c r="CM8" s="825">
        <v>15000</v>
      </c>
      <c r="CN8" s="825">
        <v>6040</v>
      </c>
      <c r="CO8" s="825">
        <v>8960</v>
      </c>
      <c r="CP8" s="825">
        <v>8681.7000000000007</v>
      </c>
      <c r="CQ8" s="823">
        <v>5000</v>
      </c>
      <c r="CR8" s="826"/>
    </row>
    <row r="9" spans="1:97" ht="30" customHeight="1" x14ac:dyDescent="0.35">
      <c r="A9" s="415" t="s">
        <v>56</v>
      </c>
      <c r="B9" s="61">
        <v>900</v>
      </c>
      <c r="C9" s="265">
        <v>1026.49</v>
      </c>
      <c r="D9" s="45">
        <v>700</v>
      </c>
      <c r="E9" s="46">
        <v>440</v>
      </c>
      <c r="F9" s="46">
        <v>1073.26</v>
      </c>
      <c r="G9" s="45">
        <v>150</v>
      </c>
      <c r="H9" s="46">
        <v>48.7</v>
      </c>
      <c r="I9" s="44">
        <v>150</v>
      </c>
      <c r="J9" s="47">
        <v>35</v>
      </c>
      <c r="K9" s="48">
        <v>150</v>
      </c>
      <c r="L9" s="62">
        <v>636.77</v>
      </c>
      <c r="M9" s="63">
        <v>400</v>
      </c>
      <c r="N9" s="62">
        <v>603.80999999999995</v>
      </c>
      <c r="O9" s="29">
        <v>0</v>
      </c>
      <c r="P9" s="95">
        <f t="shared" si="2"/>
        <v>603.80999999999995</v>
      </c>
      <c r="Q9" s="19"/>
      <c r="R9" s="53">
        <f t="shared" si="3"/>
        <v>603.80999999999995</v>
      </c>
      <c r="S9" s="54">
        <f t="shared" ref="S9:S16" si="15">R9/M9</f>
        <v>1.5095249999999998</v>
      </c>
      <c r="T9" s="55">
        <v>650</v>
      </c>
      <c r="U9" s="34">
        <v>101.85</v>
      </c>
      <c r="V9" s="33">
        <f t="shared" si="4"/>
        <v>0.15669230769230769</v>
      </c>
      <c r="W9" s="34">
        <v>330.82</v>
      </c>
      <c r="X9" s="33">
        <f t="shared" si="5"/>
        <v>0.50895384615384609</v>
      </c>
      <c r="Y9" s="56">
        <v>527.24</v>
      </c>
      <c r="Z9" s="33">
        <f>Y9/T9</f>
        <v>0.81113846153846159</v>
      </c>
      <c r="AA9" s="55">
        <v>700</v>
      </c>
      <c r="AB9" s="65">
        <v>348.73</v>
      </c>
      <c r="AC9" s="40">
        <f t="shared" ref="AC9:AC16" si="16">AB9/AA9</f>
        <v>0.49818571428571429</v>
      </c>
      <c r="AD9" s="59"/>
      <c r="AE9" s="19"/>
      <c r="AF9" s="62">
        <v>561.14</v>
      </c>
      <c r="AG9" s="58">
        <f>AF9/AA9</f>
        <v>0.80162857142857136</v>
      </c>
      <c r="AH9" s="42">
        <v>1000</v>
      </c>
      <c r="AI9" s="263">
        <v>283.55</v>
      </c>
      <c r="AJ9" s="178">
        <f t="shared" si="6"/>
        <v>0.28355000000000002</v>
      </c>
      <c r="AK9" s="62">
        <f>290.83+447.62</f>
        <v>738.45</v>
      </c>
      <c r="AL9" s="179">
        <f t="shared" si="7"/>
        <v>0.73845000000000005</v>
      </c>
      <c r="AM9" s="56">
        <v>260</v>
      </c>
      <c r="AN9" s="56">
        <f t="shared" si="13"/>
        <v>998.45</v>
      </c>
      <c r="AO9" s="179">
        <f t="shared" si="8"/>
        <v>0.99845000000000006</v>
      </c>
      <c r="AP9" s="183"/>
      <c r="AQ9" s="264" t="s">
        <v>57</v>
      </c>
      <c r="AR9" s="56">
        <f>760.23+290.83</f>
        <v>1051.06</v>
      </c>
      <c r="AS9" s="345">
        <v>1000</v>
      </c>
      <c r="AT9" s="357">
        <f>'[1]Current Account'!U156</f>
        <v>672.96</v>
      </c>
      <c r="AU9" s="357">
        <v>446.85</v>
      </c>
      <c r="AV9" s="347">
        <f t="shared" si="9"/>
        <v>0.44685000000000002</v>
      </c>
      <c r="AW9" s="352">
        <v>1165.27</v>
      </c>
      <c r="AX9" s="353">
        <f t="shared" si="10"/>
        <v>1.16527</v>
      </c>
      <c r="AY9" s="354">
        <v>800</v>
      </c>
      <c r="AZ9" s="352">
        <f>'[1]Current Account'!U156+'[1]Current Account'!S156</f>
        <v>719.95</v>
      </c>
      <c r="BA9" s="353">
        <f t="shared" si="14"/>
        <v>0.89993750000000006</v>
      </c>
      <c r="BB9" s="362" t="s">
        <v>222</v>
      </c>
      <c r="BC9" s="354">
        <v>1000</v>
      </c>
      <c r="BD9" s="356" t="s">
        <v>224</v>
      </c>
      <c r="BE9" s="349">
        <v>650.88</v>
      </c>
      <c r="BF9" s="350">
        <f>BL9/BC9</f>
        <v>0.63065999999999989</v>
      </c>
      <c r="BG9" s="375">
        <v>1000</v>
      </c>
      <c r="BH9" s="434">
        <v>446.41</v>
      </c>
      <c r="BI9" s="376">
        <f>BH9/8*4</f>
        <v>223.20500000000001</v>
      </c>
      <c r="BJ9" s="376">
        <f t="shared" si="0"/>
        <v>669.61500000000001</v>
      </c>
      <c r="BL9" s="349">
        <f>'[2]Current Account'!U172+'[2]Current Account'!T172</f>
        <v>630.65999999999985</v>
      </c>
      <c r="BM9" s="733">
        <f t="shared" si="12"/>
        <v>0.63065999999999989</v>
      </c>
      <c r="BN9" s="438">
        <v>1000</v>
      </c>
      <c r="BO9" s="808">
        <v>1000</v>
      </c>
      <c r="BP9" s="783"/>
      <c r="BQ9" s="801">
        <v>708.34</v>
      </c>
      <c r="BR9" s="785">
        <v>291.66000000000003</v>
      </c>
      <c r="BS9" s="792">
        <f t="shared" si="1"/>
        <v>1000</v>
      </c>
      <c r="BT9" s="792">
        <v>1104.04</v>
      </c>
      <c r="BU9" s="798">
        <f t="shared" ref="BU9:BU37" si="17">BT9/BO9</f>
        <v>1.1040399999999999</v>
      </c>
      <c r="BV9" s="794">
        <v>1000</v>
      </c>
      <c r="BW9" s="879">
        <f>'Current Account'!R184</f>
        <v>674.71</v>
      </c>
      <c r="BX9" s="796">
        <v>473.81</v>
      </c>
      <c r="BY9" s="796">
        <f>BW9/8*4</f>
        <v>337.35500000000002</v>
      </c>
      <c r="BZ9" s="796">
        <f t="shared" si="11"/>
        <v>811.16499999999996</v>
      </c>
      <c r="CA9" s="987">
        <v>674.71</v>
      </c>
      <c r="CB9" s="808">
        <v>800</v>
      </c>
      <c r="CF9" s="235" t="s">
        <v>192</v>
      </c>
      <c r="CG9" s="236">
        <v>6848.07</v>
      </c>
      <c r="CH9" s="236"/>
      <c r="CI9" s="236"/>
      <c r="CJ9" s="237"/>
      <c r="CL9" s="844" t="s">
        <v>1299</v>
      </c>
      <c r="CM9" s="825">
        <v>0</v>
      </c>
      <c r="CN9" s="825">
        <v>0</v>
      </c>
      <c r="CO9" s="825">
        <v>0</v>
      </c>
      <c r="CP9" s="825">
        <v>0</v>
      </c>
      <c r="CQ9" s="823">
        <v>4500</v>
      </c>
      <c r="CR9" s="826"/>
    </row>
    <row r="10" spans="1:97" ht="34.200000000000003" customHeight="1" x14ac:dyDescent="0.35">
      <c r="A10" s="415" t="s">
        <v>234</v>
      </c>
      <c r="B10" s="61"/>
      <c r="C10" s="265"/>
      <c r="D10" s="45"/>
      <c r="E10" s="46"/>
      <c r="F10" s="46"/>
      <c r="G10" s="45"/>
      <c r="H10" s="46"/>
      <c r="I10" s="44"/>
      <c r="J10" s="47"/>
      <c r="K10" s="48"/>
      <c r="L10" s="62"/>
      <c r="M10" s="63"/>
      <c r="N10" s="62"/>
      <c r="O10" s="29"/>
      <c r="P10" s="95"/>
      <c r="Q10" s="19"/>
      <c r="R10" s="53"/>
      <c r="S10" s="54"/>
      <c r="T10" s="55"/>
      <c r="U10" s="34"/>
      <c r="V10" s="33"/>
      <c r="W10" s="34"/>
      <c r="X10" s="33"/>
      <c r="Y10" s="56"/>
      <c r="Z10" s="33"/>
      <c r="AA10" s="55"/>
      <c r="AB10" s="65"/>
      <c r="AC10" s="40"/>
      <c r="AD10" s="59"/>
      <c r="AE10" s="19"/>
      <c r="AF10" s="62"/>
      <c r="AG10" s="58"/>
      <c r="AH10" s="42"/>
      <c r="AI10" s="263"/>
      <c r="AJ10" s="178"/>
      <c r="AK10" s="62"/>
      <c r="AL10" s="179"/>
      <c r="AM10" s="56"/>
      <c r="AN10" s="56"/>
      <c r="AO10" s="179"/>
      <c r="AP10" s="183"/>
      <c r="AQ10" s="264"/>
      <c r="AR10" s="56"/>
      <c r="AS10" s="345"/>
      <c r="AT10" s="357"/>
      <c r="AU10" s="357"/>
      <c r="AV10" s="347"/>
      <c r="AW10" s="352"/>
      <c r="AX10" s="353"/>
      <c r="AY10" s="354"/>
      <c r="AZ10" s="352"/>
      <c r="BA10" s="353"/>
      <c r="BB10" s="362"/>
      <c r="BC10" s="354"/>
      <c r="BD10" s="356"/>
      <c r="BE10" s="349">
        <v>3665.47</v>
      </c>
      <c r="BF10" s="350"/>
      <c r="BG10" s="375">
        <v>0</v>
      </c>
      <c r="BH10" s="434"/>
      <c r="BI10" s="376"/>
      <c r="BJ10" s="376">
        <f t="shared" si="0"/>
        <v>0</v>
      </c>
      <c r="BL10" s="349"/>
      <c r="BM10" s="733"/>
      <c r="BN10" s="438"/>
      <c r="BO10" s="808"/>
      <c r="BP10" s="783"/>
      <c r="BQ10" s="801">
        <v>0</v>
      </c>
      <c r="BR10" s="785">
        <v>0</v>
      </c>
      <c r="BS10" s="792">
        <f t="shared" si="1"/>
        <v>0</v>
      </c>
      <c r="BT10" s="792">
        <v>0</v>
      </c>
      <c r="BU10" s="798"/>
      <c r="BV10" s="794">
        <v>0</v>
      </c>
      <c r="BW10" s="872">
        <v>0</v>
      </c>
      <c r="BX10" s="796">
        <v>0</v>
      </c>
      <c r="BY10" s="796">
        <v>0</v>
      </c>
      <c r="BZ10" s="796">
        <f t="shared" si="11"/>
        <v>0</v>
      </c>
      <c r="CA10" s="796">
        <v>0</v>
      </c>
      <c r="CB10" s="808">
        <v>0</v>
      </c>
      <c r="CF10" s="235"/>
      <c r="CG10" s="236"/>
      <c r="CH10" s="236"/>
      <c r="CI10" s="236"/>
      <c r="CJ10" s="237"/>
      <c r="CL10" s="844" t="s">
        <v>1190</v>
      </c>
      <c r="CM10" s="825"/>
      <c r="CN10" s="825"/>
      <c r="CO10" s="825"/>
      <c r="CP10" s="825"/>
      <c r="CQ10" s="825">
        <v>5000</v>
      </c>
      <c r="CR10" s="828"/>
    </row>
    <row r="11" spans="1:97" ht="30" customHeight="1" x14ac:dyDescent="0.35">
      <c r="A11" s="415" t="s">
        <v>59</v>
      </c>
      <c r="B11" s="61"/>
      <c r="C11" s="265"/>
      <c r="D11" s="45"/>
      <c r="E11" s="46"/>
      <c r="F11" s="46"/>
      <c r="G11" s="45">
        <v>500</v>
      </c>
      <c r="H11" s="46">
        <v>350</v>
      </c>
      <c r="I11" s="44">
        <v>500</v>
      </c>
      <c r="J11" s="47">
        <v>350</v>
      </c>
      <c r="K11" s="48">
        <v>500</v>
      </c>
      <c r="L11" s="62">
        <v>360</v>
      </c>
      <c r="M11" s="63">
        <v>370</v>
      </c>
      <c r="N11" s="62">
        <v>370</v>
      </c>
      <c r="O11" s="29">
        <v>-160</v>
      </c>
      <c r="P11" s="95">
        <f t="shared" si="2"/>
        <v>210</v>
      </c>
      <c r="Q11" s="19">
        <v>370</v>
      </c>
      <c r="R11" s="53">
        <f t="shared" si="3"/>
        <v>580</v>
      </c>
      <c r="S11" s="54">
        <f t="shared" si="15"/>
        <v>1.5675675675675675</v>
      </c>
      <c r="T11" s="55">
        <v>370</v>
      </c>
      <c r="U11" s="34">
        <v>170</v>
      </c>
      <c r="V11" s="33">
        <f t="shared" si="4"/>
        <v>0.45945945945945948</v>
      </c>
      <c r="W11" s="34">
        <v>170</v>
      </c>
      <c r="X11" s="33">
        <f t="shared" si="5"/>
        <v>0.45945945945945948</v>
      </c>
      <c r="Y11" s="56">
        <v>370</v>
      </c>
      <c r="Z11" s="33">
        <f>Y11/T11</f>
        <v>1</v>
      </c>
      <c r="AA11" s="55">
        <v>400</v>
      </c>
      <c r="AB11" s="66">
        <v>175</v>
      </c>
      <c r="AC11" s="40">
        <f t="shared" si="16"/>
        <v>0.4375</v>
      </c>
      <c r="AD11" s="59"/>
      <c r="AE11" s="67" t="s">
        <v>60</v>
      </c>
      <c r="AF11" s="62">
        <v>475</v>
      </c>
      <c r="AG11" s="58">
        <f>AF11/AA11</f>
        <v>1.1875</v>
      </c>
      <c r="AH11" s="68">
        <v>500</v>
      </c>
      <c r="AI11" s="271">
        <v>180</v>
      </c>
      <c r="AJ11" s="178">
        <f t="shared" si="6"/>
        <v>0.36</v>
      </c>
      <c r="AK11" s="272">
        <v>180</v>
      </c>
      <c r="AL11" s="179">
        <f t="shared" si="7"/>
        <v>0.36</v>
      </c>
      <c r="AM11" s="56">
        <v>300</v>
      </c>
      <c r="AN11" s="56">
        <f t="shared" si="13"/>
        <v>480</v>
      </c>
      <c r="AO11" s="179">
        <f t="shared" si="8"/>
        <v>0.96</v>
      </c>
      <c r="AP11" s="183" t="s">
        <v>150</v>
      </c>
      <c r="AQ11" s="273"/>
      <c r="AR11" s="56">
        <v>480</v>
      </c>
      <c r="AS11" s="363">
        <v>500</v>
      </c>
      <c r="AT11" s="364">
        <f>'[1]Current Account'!W156</f>
        <v>460</v>
      </c>
      <c r="AU11" s="364">
        <v>480</v>
      </c>
      <c r="AV11" s="347">
        <f t="shared" si="9"/>
        <v>0.96</v>
      </c>
      <c r="AW11" s="352">
        <v>480</v>
      </c>
      <c r="AX11" s="353">
        <f t="shared" si="10"/>
        <v>0.96</v>
      </c>
      <c r="AY11" s="354">
        <v>480</v>
      </c>
      <c r="AZ11" s="352">
        <f>'[1]Current Account'!W156</f>
        <v>460</v>
      </c>
      <c r="BA11" s="353">
        <f t="shared" si="14"/>
        <v>0.95833333333333337</v>
      </c>
      <c r="BB11" s="358" t="s">
        <v>204</v>
      </c>
      <c r="BC11" s="359">
        <v>480</v>
      </c>
      <c r="BD11" s="360"/>
      <c r="BE11" s="349">
        <v>1775</v>
      </c>
      <c r="BF11" s="350">
        <f t="shared" ref="BF11:BF16" si="18">BL11/BC11</f>
        <v>1.2604166666666667</v>
      </c>
      <c r="BG11" s="375">
        <v>900</v>
      </c>
      <c r="BH11" s="434">
        <v>1300</v>
      </c>
      <c r="BI11" s="376">
        <v>0</v>
      </c>
      <c r="BJ11" s="376">
        <f t="shared" si="0"/>
        <v>1300</v>
      </c>
      <c r="BL11" s="349">
        <f>'[2]Current Account'!Z172</f>
        <v>605</v>
      </c>
      <c r="BM11" s="733">
        <f t="shared" si="12"/>
        <v>0.67222222222222228</v>
      </c>
      <c r="BN11" s="438">
        <v>700</v>
      </c>
      <c r="BO11" s="808">
        <v>700</v>
      </c>
      <c r="BP11" s="790" t="s">
        <v>265</v>
      </c>
      <c r="BQ11" s="791">
        <v>670</v>
      </c>
      <c r="BR11" s="785">
        <v>0</v>
      </c>
      <c r="BS11" s="792">
        <f t="shared" si="1"/>
        <v>670</v>
      </c>
      <c r="BT11" s="792">
        <v>680</v>
      </c>
      <c r="BU11" s="798">
        <f t="shared" si="17"/>
        <v>0.97142857142857142</v>
      </c>
      <c r="BV11" s="794">
        <v>700</v>
      </c>
      <c r="BW11" s="879">
        <f>'Current Account'!X184</f>
        <v>680</v>
      </c>
      <c r="BX11" s="796">
        <v>680</v>
      </c>
      <c r="BY11" s="796">
        <v>0</v>
      </c>
      <c r="BZ11" s="796">
        <f t="shared" si="11"/>
        <v>680</v>
      </c>
      <c r="CA11" s="987">
        <v>680</v>
      </c>
      <c r="CB11" s="808">
        <v>700</v>
      </c>
      <c r="CC11" s="594"/>
      <c r="CD11" s="431"/>
      <c r="CF11" s="238" t="s">
        <v>215</v>
      </c>
      <c r="CG11" s="239">
        <v>3151.93</v>
      </c>
      <c r="CH11" s="236">
        <f>SUM(CG9:CG11)</f>
        <v>10000</v>
      </c>
      <c r="CI11" s="274"/>
      <c r="CJ11" s="240"/>
      <c r="CL11" s="844" t="s">
        <v>299</v>
      </c>
      <c r="CM11" s="825">
        <v>4000</v>
      </c>
      <c r="CN11" s="825">
        <v>4000</v>
      </c>
      <c r="CO11" s="825">
        <v>0</v>
      </c>
      <c r="CP11" s="825"/>
      <c r="CQ11" s="823">
        <v>0</v>
      </c>
      <c r="CR11" s="826"/>
      <c r="CS11" s="847"/>
    </row>
    <row r="12" spans="1:97" ht="30" customHeight="1" x14ac:dyDescent="0.35">
      <c r="A12" s="415" t="s">
        <v>886</v>
      </c>
      <c r="B12" s="61">
        <v>180</v>
      </c>
      <c r="C12" s="265">
        <v>165</v>
      </c>
      <c r="D12" s="45">
        <v>180</v>
      </c>
      <c r="E12" s="46">
        <v>150</v>
      </c>
      <c r="F12" s="46">
        <v>210</v>
      </c>
      <c r="G12" s="45">
        <v>200</v>
      </c>
      <c r="H12" s="46">
        <v>160</v>
      </c>
      <c r="I12" s="44">
        <v>200</v>
      </c>
      <c r="J12" s="47">
        <v>215</v>
      </c>
      <c r="K12" s="48">
        <v>350</v>
      </c>
      <c r="L12" s="62">
        <v>245</v>
      </c>
      <c r="M12" s="63">
        <v>275</v>
      </c>
      <c r="N12" s="62">
        <v>150</v>
      </c>
      <c r="O12" s="29">
        <v>0</v>
      </c>
      <c r="P12" s="95">
        <f t="shared" si="2"/>
        <v>150</v>
      </c>
      <c r="Q12" s="19"/>
      <c r="R12" s="53">
        <f t="shared" si="3"/>
        <v>150</v>
      </c>
      <c r="S12" s="54">
        <f t="shared" si="15"/>
        <v>0.54545454545454541</v>
      </c>
      <c r="T12" s="55">
        <v>240</v>
      </c>
      <c r="U12" s="34">
        <v>75</v>
      </c>
      <c r="V12" s="33">
        <f t="shared" si="4"/>
        <v>0.3125</v>
      </c>
      <c r="W12" s="34">
        <v>135</v>
      </c>
      <c r="X12" s="33">
        <f t="shared" si="5"/>
        <v>0.5625</v>
      </c>
      <c r="Y12" s="56">
        <v>180</v>
      </c>
      <c r="Z12" s="33">
        <f>Y12/T12</f>
        <v>0.75</v>
      </c>
      <c r="AA12" s="55">
        <v>200</v>
      </c>
      <c r="AB12" s="65">
        <v>90</v>
      </c>
      <c r="AC12" s="40">
        <f t="shared" si="16"/>
        <v>0.45</v>
      </c>
      <c r="AD12" s="59"/>
      <c r="AE12" s="19"/>
      <c r="AF12" s="62">
        <v>180</v>
      </c>
      <c r="AG12" s="58">
        <f>AF12/AA12</f>
        <v>0.9</v>
      </c>
      <c r="AH12" s="42">
        <v>200</v>
      </c>
      <c r="AI12" s="263">
        <v>45</v>
      </c>
      <c r="AJ12" s="178">
        <f t="shared" si="6"/>
        <v>0.22500000000000001</v>
      </c>
      <c r="AK12" s="62">
        <v>105</v>
      </c>
      <c r="AL12" s="179">
        <f t="shared" si="7"/>
        <v>0.52500000000000002</v>
      </c>
      <c r="AM12" s="56">
        <f>15*5</f>
        <v>75</v>
      </c>
      <c r="AN12" s="56">
        <f t="shared" si="13"/>
        <v>180</v>
      </c>
      <c r="AO12" s="179">
        <f t="shared" si="8"/>
        <v>0.9</v>
      </c>
      <c r="AP12" s="183"/>
      <c r="AQ12" s="264"/>
      <c r="AR12" s="56">
        <v>180</v>
      </c>
      <c r="AS12" s="345">
        <v>250</v>
      </c>
      <c r="AT12" s="357">
        <f>'[1]Current Account'!AA156</f>
        <v>70</v>
      </c>
      <c r="AU12" s="357">
        <v>0</v>
      </c>
      <c r="AV12" s="347">
        <f t="shared" si="9"/>
        <v>0</v>
      </c>
      <c r="AW12" s="352">
        <v>0</v>
      </c>
      <c r="AX12" s="353">
        <f t="shared" si="10"/>
        <v>0</v>
      </c>
      <c r="AY12" s="354">
        <v>360</v>
      </c>
      <c r="AZ12" s="352">
        <f>'[1]Current Account'!AA156</f>
        <v>70</v>
      </c>
      <c r="BA12" s="353">
        <f t="shared" si="14"/>
        <v>0.19444444444444445</v>
      </c>
      <c r="BB12" s="358" t="s">
        <v>205</v>
      </c>
      <c r="BC12" s="359">
        <v>360</v>
      </c>
      <c r="BD12" s="360"/>
      <c r="BE12" s="349">
        <v>150</v>
      </c>
      <c r="BF12" s="350">
        <f t="shared" si="18"/>
        <v>0.625</v>
      </c>
      <c r="BG12" s="375">
        <v>180</v>
      </c>
      <c r="BH12" s="434">
        <v>0</v>
      </c>
      <c r="BI12" s="376">
        <v>180</v>
      </c>
      <c r="BJ12" s="376">
        <f t="shared" si="0"/>
        <v>180</v>
      </c>
      <c r="BL12" s="349">
        <f>'[2]Current Account'!AD172</f>
        <v>225</v>
      </c>
      <c r="BM12" s="733">
        <f t="shared" si="12"/>
        <v>1.25</v>
      </c>
      <c r="BN12" s="438">
        <v>180</v>
      </c>
      <c r="BO12" s="808">
        <v>180</v>
      </c>
      <c r="BP12" s="783" t="s">
        <v>266</v>
      </c>
      <c r="BQ12" s="801">
        <v>0</v>
      </c>
      <c r="BR12" s="785">
        <v>180</v>
      </c>
      <c r="BS12" s="792">
        <f t="shared" si="1"/>
        <v>180</v>
      </c>
      <c r="BT12" s="792">
        <v>0</v>
      </c>
      <c r="BU12" s="798">
        <f t="shared" si="17"/>
        <v>0</v>
      </c>
      <c r="BV12" s="794">
        <v>180</v>
      </c>
      <c r="BW12" s="872"/>
      <c r="BX12" s="796">
        <v>0</v>
      </c>
      <c r="BY12" s="796">
        <v>180</v>
      </c>
      <c r="BZ12" s="796">
        <f t="shared" si="11"/>
        <v>180</v>
      </c>
      <c r="CA12" s="987">
        <v>315</v>
      </c>
      <c r="CB12" s="808">
        <v>180</v>
      </c>
      <c r="CC12" s="593" t="s">
        <v>1307</v>
      </c>
      <c r="CF12" s="238"/>
      <c r="CG12" s="241"/>
      <c r="CH12" s="275"/>
      <c r="CI12" s="275"/>
      <c r="CJ12" s="240"/>
      <c r="CL12" s="844" t="s">
        <v>247</v>
      </c>
      <c r="CM12" s="825">
        <v>2000</v>
      </c>
      <c r="CN12" s="825">
        <v>0</v>
      </c>
      <c r="CO12" s="825">
        <v>2000</v>
      </c>
      <c r="CP12" s="825"/>
      <c r="CQ12" s="823">
        <v>2000</v>
      </c>
      <c r="CR12" s="824"/>
      <c r="CS12" s="847"/>
    </row>
    <row r="13" spans="1:97" ht="30" customHeight="1" x14ac:dyDescent="0.35">
      <c r="A13" s="415" t="s">
        <v>62</v>
      </c>
      <c r="B13" s="61">
        <v>0</v>
      </c>
      <c r="C13" s="265">
        <v>0</v>
      </c>
      <c r="D13" s="45">
        <v>0</v>
      </c>
      <c r="E13" s="46">
        <v>0</v>
      </c>
      <c r="F13" s="46"/>
      <c r="G13" s="45">
        <v>50</v>
      </c>
      <c r="H13" s="46">
        <v>0</v>
      </c>
      <c r="I13" s="44">
        <v>40</v>
      </c>
      <c r="J13" s="47">
        <v>0</v>
      </c>
      <c r="K13" s="48">
        <v>50</v>
      </c>
      <c r="L13" s="62">
        <v>0</v>
      </c>
      <c r="M13" s="63">
        <v>100</v>
      </c>
      <c r="N13" s="62">
        <v>0</v>
      </c>
      <c r="O13" s="29">
        <v>0</v>
      </c>
      <c r="P13" s="95">
        <f t="shared" si="2"/>
        <v>0</v>
      </c>
      <c r="Q13" s="19"/>
      <c r="R13" s="53">
        <f t="shared" si="3"/>
        <v>0</v>
      </c>
      <c r="S13" s="54">
        <f t="shared" si="15"/>
        <v>0</v>
      </c>
      <c r="T13" s="55">
        <v>0</v>
      </c>
      <c r="U13" s="34"/>
      <c r="V13" s="33"/>
      <c r="W13" s="34">
        <v>0</v>
      </c>
      <c r="X13" s="33"/>
      <c r="Y13" s="56"/>
      <c r="Z13" s="33"/>
      <c r="AA13" s="55">
        <v>100</v>
      </c>
      <c r="AB13" s="65">
        <v>0</v>
      </c>
      <c r="AC13" s="40">
        <f t="shared" si="16"/>
        <v>0</v>
      </c>
      <c r="AD13" s="59"/>
      <c r="AE13" s="19"/>
      <c r="AF13" s="62"/>
      <c r="AG13" s="58"/>
      <c r="AH13" s="42">
        <v>100</v>
      </c>
      <c r="AI13" s="263"/>
      <c r="AJ13" s="178">
        <f t="shared" si="6"/>
        <v>0</v>
      </c>
      <c r="AK13" s="62"/>
      <c r="AL13" s="179">
        <f t="shared" si="7"/>
        <v>0</v>
      </c>
      <c r="AM13" s="56">
        <v>0</v>
      </c>
      <c r="AN13" s="56">
        <f t="shared" si="13"/>
        <v>0</v>
      </c>
      <c r="AO13" s="179">
        <f t="shared" si="8"/>
        <v>0</v>
      </c>
      <c r="AP13" s="183"/>
      <c r="AQ13" s="264"/>
      <c r="AR13" s="56">
        <v>0</v>
      </c>
      <c r="AS13" s="345">
        <v>100</v>
      </c>
      <c r="AT13" s="357">
        <v>0</v>
      </c>
      <c r="AU13" s="357">
        <v>0</v>
      </c>
      <c r="AV13" s="347">
        <f t="shared" si="9"/>
        <v>0</v>
      </c>
      <c r="AW13" s="352">
        <v>0</v>
      </c>
      <c r="AX13" s="353">
        <f t="shared" si="10"/>
        <v>0</v>
      </c>
      <c r="AY13" s="354">
        <v>100</v>
      </c>
      <c r="AZ13" s="352"/>
      <c r="BA13" s="353">
        <f t="shared" si="14"/>
        <v>0</v>
      </c>
      <c r="BB13" s="355"/>
      <c r="BC13" s="354">
        <v>100</v>
      </c>
      <c r="BD13" s="356"/>
      <c r="BE13" s="349"/>
      <c r="BF13" s="350">
        <f t="shared" si="18"/>
        <v>0.28800000000000003</v>
      </c>
      <c r="BG13" s="375">
        <v>100</v>
      </c>
      <c r="BH13" s="434">
        <v>28.8</v>
      </c>
      <c r="BI13" s="376">
        <f>BG13-BH13</f>
        <v>71.2</v>
      </c>
      <c r="BJ13" s="376">
        <f t="shared" si="0"/>
        <v>100</v>
      </c>
      <c r="BL13" s="349">
        <f>'[2]Current Account'!P172</f>
        <v>28.8</v>
      </c>
      <c r="BM13" s="733">
        <f t="shared" si="12"/>
        <v>0.28800000000000003</v>
      </c>
      <c r="BN13" s="438">
        <v>200</v>
      </c>
      <c r="BO13" s="808">
        <v>200</v>
      </c>
      <c r="BP13" s="783"/>
      <c r="BQ13" s="801">
        <v>0</v>
      </c>
      <c r="BR13" s="785">
        <v>0</v>
      </c>
      <c r="BS13" s="792">
        <f t="shared" si="1"/>
        <v>0</v>
      </c>
      <c r="BT13" s="792">
        <v>0</v>
      </c>
      <c r="BU13" s="798">
        <f t="shared" si="17"/>
        <v>0</v>
      </c>
      <c r="BV13" s="794">
        <v>200</v>
      </c>
      <c r="BW13" s="872">
        <f>'Current Account'!N184</f>
        <v>0</v>
      </c>
      <c r="BX13" s="796">
        <v>0</v>
      </c>
      <c r="BY13" s="796">
        <v>0</v>
      </c>
      <c r="BZ13" s="796">
        <f t="shared" si="11"/>
        <v>0</v>
      </c>
      <c r="CA13" s="796">
        <v>0</v>
      </c>
      <c r="CB13" s="808">
        <v>200</v>
      </c>
      <c r="CF13" s="238"/>
      <c r="CG13" s="241"/>
      <c r="CH13" s="275"/>
      <c r="CI13" s="230"/>
      <c r="CJ13" s="240"/>
      <c r="CL13" s="844" t="s">
        <v>249</v>
      </c>
      <c r="CM13" s="825">
        <v>10000</v>
      </c>
      <c r="CN13" s="825"/>
      <c r="CO13" s="825"/>
      <c r="CP13" s="825"/>
      <c r="CQ13" s="823">
        <v>0</v>
      </c>
      <c r="CR13" s="824"/>
      <c r="CS13" s="847" t="s">
        <v>283</v>
      </c>
    </row>
    <row r="14" spans="1:97" ht="30" customHeight="1" x14ac:dyDescent="0.35">
      <c r="A14" s="415" t="s">
        <v>63</v>
      </c>
      <c r="B14" s="61">
        <v>0</v>
      </c>
      <c r="C14" s="265">
        <v>0</v>
      </c>
      <c r="D14" s="45">
        <v>0</v>
      </c>
      <c r="E14" s="46">
        <v>0</v>
      </c>
      <c r="F14" s="46">
        <v>75</v>
      </c>
      <c r="G14" s="45">
        <v>100</v>
      </c>
      <c r="H14" s="46">
        <v>11.27</v>
      </c>
      <c r="I14" s="44">
        <v>100</v>
      </c>
      <c r="J14" s="47">
        <v>40</v>
      </c>
      <c r="K14" s="48">
        <v>100</v>
      </c>
      <c r="L14" s="62">
        <v>135</v>
      </c>
      <c r="M14" s="63">
        <v>200</v>
      </c>
      <c r="N14" s="62">
        <v>47.5</v>
      </c>
      <c r="O14" s="29">
        <v>0</v>
      </c>
      <c r="P14" s="95">
        <f t="shared" si="2"/>
        <v>47.5</v>
      </c>
      <c r="Q14" s="19"/>
      <c r="R14" s="53">
        <f t="shared" si="3"/>
        <v>47.5</v>
      </c>
      <c r="S14" s="54">
        <f t="shared" si="15"/>
        <v>0.23749999999999999</v>
      </c>
      <c r="T14" s="55">
        <v>200</v>
      </c>
      <c r="U14" s="34"/>
      <c r="V14" s="33">
        <f t="shared" si="4"/>
        <v>0</v>
      </c>
      <c r="W14" s="34">
        <v>0</v>
      </c>
      <c r="X14" s="33"/>
      <c r="Y14" s="56">
        <v>60</v>
      </c>
      <c r="Z14" s="33">
        <f>Y14/T14</f>
        <v>0.3</v>
      </c>
      <c r="AA14" s="55">
        <v>200</v>
      </c>
      <c r="AB14" s="65">
        <v>162.5</v>
      </c>
      <c r="AC14" s="40">
        <f t="shared" si="16"/>
        <v>0.8125</v>
      </c>
      <c r="AD14" s="59"/>
      <c r="AE14" s="19"/>
      <c r="AF14" s="62">
        <v>337.5</v>
      </c>
      <c r="AG14" s="58">
        <f>AF14/AA14</f>
        <v>1.6875</v>
      </c>
      <c r="AH14" s="42">
        <v>250</v>
      </c>
      <c r="AI14" s="263"/>
      <c r="AJ14" s="178">
        <f t="shared" si="6"/>
        <v>0</v>
      </c>
      <c r="AK14" s="62">
        <v>162.5</v>
      </c>
      <c r="AL14" s="179">
        <f t="shared" si="7"/>
        <v>0.65</v>
      </c>
      <c r="AM14" s="56">
        <v>37.5</v>
      </c>
      <c r="AN14" s="56">
        <f t="shared" si="13"/>
        <v>200</v>
      </c>
      <c r="AO14" s="179">
        <f t="shared" si="8"/>
        <v>0.8</v>
      </c>
      <c r="AP14" s="183"/>
      <c r="AQ14" s="264"/>
      <c r="AR14" s="56">
        <v>162.5</v>
      </c>
      <c r="AS14" s="345">
        <v>250</v>
      </c>
      <c r="AT14" s="357">
        <f>'[1]Current Account'!X156</f>
        <v>30</v>
      </c>
      <c r="AU14" s="357">
        <v>30</v>
      </c>
      <c r="AV14" s="347">
        <f t="shared" si="9"/>
        <v>0.12</v>
      </c>
      <c r="AW14" s="352">
        <v>30</v>
      </c>
      <c r="AX14" s="353">
        <f t="shared" si="10"/>
        <v>0.12</v>
      </c>
      <c r="AY14" s="354">
        <v>250</v>
      </c>
      <c r="AZ14" s="352">
        <f>'[1]Current Account'!X156</f>
        <v>30</v>
      </c>
      <c r="BA14" s="353">
        <f t="shared" si="14"/>
        <v>0.12</v>
      </c>
      <c r="BB14" s="355"/>
      <c r="BC14" s="354">
        <v>250</v>
      </c>
      <c r="BD14" s="356"/>
      <c r="BE14" s="349">
        <v>0</v>
      </c>
      <c r="BF14" s="350">
        <f t="shared" si="18"/>
        <v>1.38</v>
      </c>
      <c r="BG14" s="375">
        <v>500</v>
      </c>
      <c r="BH14" s="434">
        <v>345</v>
      </c>
      <c r="BI14" s="376">
        <f>BG14-BH14</f>
        <v>155</v>
      </c>
      <c r="BJ14" s="376">
        <f t="shared" si="0"/>
        <v>500</v>
      </c>
      <c r="BL14" s="349">
        <f>'[2]Current Account'!AA172</f>
        <v>345</v>
      </c>
      <c r="BM14" s="733">
        <f t="shared" si="12"/>
        <v>0.69</v>
      </c>
      <c r="BN14" s="438">
        <v>750</v>
      </c>
      <c r="BO14" s="808">
        <v>750</v>
      </c>
      <c r="BP14" s="783"/>
      <c r="BQ14" s="801">
        <v>138</v>
      </c>
      <c r="BR14" s="785">
        <v>100</v>
      </c>
      <c r="BS14" s="792">
        <f t="shared" si="1"/>
        <v>238</v>
      </c>
      <c r="BT14" s="792">
        <v>263</v>
      </c>
      <c r="BU14" s="798">
        <f t="shared" si="17"/>
        <v>0.35066666666666668</v>
      </c>
      <c r="BV14" s="794">
        <v>750</v>
      </c>
      <c r="BW14" s="879">
        <f>'Current Account'!Y184</f>
        <v>290</v>
      </c>
      <c r="BX14" s="796">
        <v>275</v>
      </c>
      <c r="BY14" s="796">
        <f>BX14/8*4</f>
        <v>137.5</v>
      </c>
      <c r="BZ14" s="796">
        <f t="shared" si="11"/>
        <v>412.5</v>
      </c>
      <c r="CA14" s="987">
        <v>290</v>
      </c>
      <c r="CB14" s="808">
        <v>750</v>
      </c>
      <c r="CF14" s="238"/>
      <c r="CG14" s="241"/>
      <c r="CH14" s="275"/>
      <c r="CI14" s="230"/>
      <c r="CJ14" s="240"/>
      <c r="CL14" s="844" t="s">
        <v>1200</v>
      </c>
      <c r="CM14" s="825">
        <v>0</v>
      </c>
      <c r="CN14" s="825">
        <v>0</v>
      </c>
      <c r="CO14" s="825">
        <v>0</v>
      </c>
      <c r="CP14" s="825">
        <v>0</v>
      </c>
      <c r="CQ14" s="837">
        <v>625</v>
      </c>
      <c r="CR14" s="824"/>
      <c r="CS14" s="847" t="s">
        <v>1201</v>
      </c>
    </row>
    <row r="15" spans="1:97" ht="30" customHeight="1" x14ac:dyDescent="0.35">
      <c r="A15" s="415" t="s">
        <v>64</v>
      </c>
      <c r="B15" s="61">
        <v>700</v>
      </c>
      <c r="C15" s="265">
        <v>519.02</v>
      </c>
      <c r="D15" s="45">
        <v>800</v>
      </c>
      <c r="E15" s="46">
        <v>560.71</v>
      </c>
      <c r="F15" s="46">
        <v>562.76</v>
      </c>
      <c r="G15" s="45">
        <v>650</v>
      </c>
      <c r="H15" s="46">
        <v>530.24</v>
      </c>
      <c r="I15" s="44">
        <v>600</v>
      </c>
      <c r="J15" s="47">
        <v>519.15</v>
      </c>
      <c r="K15" s="48">
        <v>600</v>
      </c>
      <c r="L15" s="62">
        <v>482.81</v>
      </c>
      <c r="M15" s="63">
        <v>400</v>
      </c>
      <c r="N15" s="62">
        <v>371.88</v>
      </c>
      <c r="O15" s="29">
        <v>0</v>
      </c>
      <c r="P15" s="95">
        <f t="shared" si="2"/>
        <v>371.88</v>
      </c>
      <c r="Q15" s="19"/>
      <c r="R15" s="53">
        <f t="shared" si="3"/>
        <v>371.88</v>
      </c>
      <c r="S15" s="54">
        <f t="shared" si="15"/>
        <v>0.92969999999999997</v>
      </c>
      <c r="T15" s="55">
        <v>400</v>
      </c>
      <c r="U15" s="34">
        <v>380.37</v>
      </c>
      <c r="V15" s="33">
        <f t="shared" si="4"/>
        <v>0.95092500000000002</v>
      </c>
      <c r="W15" s="34">
        <v>380.37</v>
      </c>
      <c r="X15" s="33">
        <f t="shared" si="5"/>
        <v>0.95092500000000002</v>
      </c>
      <c r="Y15" s="56">
        <v>380.37</v>
      </c>
      <c r="Z15" s="33">
        <f>Y15/T15</f>
        <v>0.95092500000000002</v>
      </c>
      <c r="AA15" s="55">
        <v>400</v>
      </c>
      <c r="AB15" s="65">
        <v>342.34</v>
      </c>
      <c r="AC15" s="40">
        <f t="shared" si="16"/>
        <v>0.85584999999999989</v>
      </c>
      <c r="AD15" s="59"/>
      <c r="AE15" s="19"/>
      <c r="AF15" s="62">
        <v>342.34</v>
      </c>
      <c r="AG15" s="58">
        <f>AF15/AA15</f>
        <v>0.85584999999999989</v>
      </c>
      <c r="AH15" s="68">
        <v>400</v>
      </c>
      <c r="AI15" s="271">
        <v>321.68</v>
      </c>
      <c r="AJ15" s="178">
        <f t="shared" si="6"/>
        <v>0.80420000000000003</v>
      </c>
      <c r="AK15" s="272">
        <v>321.68</v>
      </c>
      <c r="AL15" s="179">
        <f t="shared" si="7"/>
        <v>0.80420000000000003</v>
      </c>
      <c r="AM15" s="56">
        <v>0</v>
      </c>
      <c r="AN15" s="56">
        <f t="shared" si="13"/>
        <v>321.68</v>
      </c>
      <c r="AO15" s="179">
        <f t="shared" si="8"/>
        <v>0.80420000000000003</v>
      </c>
      <c r="AP15" s="183" t="s">
        <v>150</v>
      </c>
      <c r="AQ15" s="273"/>
      <c r="AR15" s="56">
        <v>321.68</v>
      </c>
      <c r="AS15" s="363">
        <v>400</v>
      </c>
      <c r="AT15" s="364">
        <f>'[1]Current Account'!Y156</f>
        <v>198.79</v>
      </c>
      <c r="AU15" s="364">
        <v>326.83</v>
      </c>
      <c r="AV15" s="347">
        <f t="shared" si="9"/>
        <v>0.817075</v>
      </c>
      <c r="AW15" s="352">
        <v>333.87</v>
      </c>
      <c r="AX15" s="353">
        <f t="shared" si="10"/>
        <v>0.83467500000000006</v>
      </c>
      <c r="AY15" s="354">
        <v>550</v>
      </c>
      <c r="AZ15" s="352">
        <f>'[1]Current Account'!Y156</f>
        <v>198.79</v>
      </c>
      <c r="BA15" s="353">
        <f t="shared" si="14"/>
        <v>0.36143636363636361</v>
      </c>
      <c r="BB15" s="358" t="s">
        <v>206</v>
      </c>
      <c r="BC15" s="359">
        <v>250</v>
      </c>
      <c r="BD15" s="360"/>
      <c r="BE15" s="349">
        <v>179.82</v>
      </c>
      <c r="BF15" s="350">
        <f t="shared" si="18"/>
        <v>0.8</v>
      </c>
      <c r="BG15" s="375">
        <v>216</v>
      </c>
      <c r="BH15" s="434">
        <v>200</v>
      </c>
      <c r="BI15" s="376">
        <v>0</v>
      </c>
      <c r="BJ15" s="376">
        <f t="shared" si="0"/>
        <v>200</v>
      </c>
      <c r="BL15" s="349">
        <f>'[2]Current Account'!AB172</f>
        <v>200</v>
      </c>
      <c r="BM15" s="733">
        <f t="shared" si="12"/>
        <v>0.92592592592592593</v>
      </c>
      <c r="BN15" s="438">
        <v>250</v>
      </c>
      <c r="BO15" s="808">
        <v>250</v>
      </c>
      <c r="BP15" s="783" t="s">
        <v>267</v>
      </c>
      <c r="BQ15" s="801">
        <v>220</v>
      </c>
      <c r="BR15" s="785">
        <v>0</v>
      </c>
      <c r="BS15" s="792">
        <f t="shared" si="1"/>
        <v>220</v>
      </c>
      <c r="BT15" s="792">
        <v>220</v>
      </c>
      <c r="BU15" s="798">
        <f t="shared" si="17"/>
        <v>0.88</v>
      </c>
      <c r="BV15" s="794">
        <f>220*110%</f>
        <v>242.00000000000003</v>
      </c>
      <c r="BW15" s="879">
        <f>'Current Account'!Z184</f>
        <v>517.14</v>
      </c>
      <c r="BX15" s="796">
        <v>517.14</v>
      </c>
      <c r="BY15" s="796">
        <v>0</v>
      </c>
      <c r="BZ15" s="796">
        <f t="shared" si="11"/>
        <v>517.14</v>
      </c>
      <c r="CA15" s="987">
        <v>517.14</v>
      </c>
      <c r="CB15" s="808">
        <f>BZ15/100*110</f>
        <v>568.85400000000004</v>
      </c>
      <c r="CF15" s="238" t="s">
        <v>193</v>
      </c>
      <c r="CG15" s="242">
        <v>5000</v>
      </c>
      <c r="CH15" s="242"/>
      <c r="CI15" s="236"/>
      <c r="CJ15" s="243"/>
      <c r="CL15" s="846"/>
      <c r="CM15" s="827"/>
      <c r="CN15" s="827"/>
      <c r="CO15" s="827"/>
      <c r="CP15" s="827"/>
      <c r="CQ15" s="827"/>
      <c r="CR15" s="828"/>
    </row>
    <row r="16" spans="1:97" ht="30" customHeight="1" x14ac:dyDescent="0.35">
      <c r="A16" s="415" t="s">
        <v>65</v>
      </c>
      <c r="B16" s="61">
        <v>600</v>
      </c>
      <c r="C16" s="265">
        <v>461.33</v>
      </c>
      <c r="D16" s="45">
        <v>600</v>
      </c>
      <c r="E16" s="46">
        <v>485.47</v>
      </c>
      <c r="F16" s="46">
        <v>497.87</v>
      </c>
      <c r="G16" s="45">
        <v>600</v>
      </c>
      <c r="H16" s="46"/>
      <c r="I16" s="44">
        <v>525</v>
      </c>
      <c r="J16" s="47">
        <v>505.46</v>
      </c>
      <c r="K16" s="48">
        <v>550</v>
      </c>
      <c r="L16" s="62">
        <v>498.81</v>
      </c>
      <c r="M16" s="63">
        <v>492.1</v>
      </c>
      <c r="N16" s="62">
        <v>492.1</v>
      </c>
      <c r="O16" s="29">
        <v>0</v>
      </c>
      <c r="P16" s="95">
        <f t="shared" si="2"/>
        <v>492.1</v>
      </c>
      <c r="Q16" s="19"/>
      <c r="R16" s="53">
        <f t="shared" si="3"/>
        <v>492.1</v>
      </c>
      <c r="S16" s="54">
        <f t="shared" si="15"/>
        <v>1</v>
      </c>
      <c r="T16" s="55">
        <v>500</v>
      </c>
      <c r="U16" s="34"/>
      <c r="V16" s="33">
        <f t="shared" si="4"/>
        <v>0</v>
      </c>
      <c r="W16" s="34">
        <v>511.04</v>
      </c>
      <c r="X16" s="33">
        <f t="shared" si="5"/>
        <v>1.0220800000000001</v>
      </c>
      <c r="Y16" s="56">
        <v>511.04</v>
      </c>
      <c r="Z16" s="33">
        <f>Y16/T16</f>
        <v>1.0220800000000001</v>
      </c>
      <c r="AA16" s="55">
        <v>550</v>
      </c>
      <c r="AB16" s="65">
        <v>518.35</v>
      </c>
      <c r="AC16" s="40">
        <f t="shared" si="16"/>
        <v>0.94245454545454554</v>
      </c>
      <c r="AD16" s="59"/>
      <c r="AE16" s="19"/>
      <c r="AF16" s="62">
        <v>518.35</v>
      </c>
      <c r="AG16" s="58">
        <f>AF16/AA16</f>
        <v>0.94245454545454554</v>
      </c>
      <c r="AH16" s="68">
        <v>600</v>
      </c>
      <c r="AI16" s="271">
        <v>513.05999999999995</v>
      </c>
      <c r="AJ16" s="178">
        <f t="shared" si="6"/>
        <v>0.85509999999999986</v>
      </c>
      <c r="AK16" s="272">
        <v>513.05999999999995</v>
      </c>
      <c r="AL16" s="179">
        <f t="shared" si="7"/>
        <v>0.85509999999999986</v>
      </c>
      <c r="AM16" s="56">
        <v>0</v>
      </c>
      <c r="AN16" s="56">
        <f t="shared" si="13"/>
        <v>513.05999999999995</v>
      </c>
      <c r="AO16" s="179">
        <f t="shared" si="8"/>
        <v>0.85509999999999986</v>
      </c>
      <c r="AP16" s="183" t="s">
        <v>150</v>
      </c>
      <c r="AQ16" s="273"/>
      <c r="AR16" s="56">
        <v>513.05999999999995</v>
      </c>
      <c r="AS16" s="363">
        <v>600</v>
      </c>
      <c r="AT16" s="364">
        <f>'[1]Current Account'!Z156</f>
        <v>540.35</v>
      </c>
      <c r="AU16" s="364">
        <v>526.89</v>
      </c>
      <c r="AV16" s="347">
        <f t="shared" si="9"/>
        <v>0.87814999999999999</v>
      </c>
      <c r="AW16" s="352">
        <v>526.89</v>
      </c>
      <c r="AX16" s="353">
        <f t="shared" si="10"/>
        <v>0.87814999999999999</v>
      </c>
      <c r="AY16" s="354">
        <v>600</v>
      </c>
      <c r="AZ16" s="352">
        <f>'[1]Current Account'!Z156</f>
        <v>540.35</v>
      </c>
      <c r="BA16" s="353">
        <f t="shared" si="14"/>
        <v>0.9005833333333334</v>
      </c>
      <c r="BB16" s="358" t="s">
        <v>207</v>
      </c>
      <c r="BC16" s="359">
        <v>600</v>
      </c>
      <c r="BD16" s="360"/>
      <c r="BE16" s="349">
        <v>547.79</v>
      </c>
      <c r="BF16" s="350">
        <f t="shared" si="18"/>
        <v>0.98553333333333337</v>
      </c>
      <c r="BG16" s="375">
        <v>658</v>
      </c>
      <c r="BH16" s="434">
        <v>591.32000000000005</v>
      </c>
      <c r="BI16" s="376">
        <v>0</v>
      </c>
      <c r="BJ16" s="376">
        <f t="shared" si="0"/>
        <v>591.32000000000005</v>
      </c>
      <c r="BL16" s="349">
        <f>'[2]Current Account'!AC172</f>
        <v>591.32000000000005</v>
      </c>
      <c r="BM16" s="733">
        <f t="shared" si="12"/>
        <v>0.89866261398176295</v>
      </c>
      <c r="BN16" s="438">
        <v>650</v>
      </c>
      <c r="BO16" s="808">
        <v>650</v>
      </c>
      <c r="BP16" s="783"/>
      <c r="BQ16" s="801">
        <v>639.35</v>
      </c>
      <c r="BR16" s="785">
        <v>0</v>
      </c>
      <c r="BS16" s="792">
        <f t="shared" si="1"/>
        <v>639.35</v>
      </c>
      <c r="BT16" s="792">
        <v>639.35</v>
      </c>
      <c r="BU16" s="798">
        <f t="shared" si="17"/>
        <v>0.98361538461538467</v>
      </c>
      <c r="BV16" s="794">
        <f>BS16*110%</f>
        <v>703.28500000000008</v>
      </c>
      <c r="BW16" s="879">
        <f>'Current Account'!AA184</f>
        <v>907.97</v>
      </c>
      <c r="BX16" s="796">
        <v>907.97</v>
      </c>
      <c r="BY16" s="796">
        <v>0</v>
      </c>
      <c r="BZ16" s="796">
        <f t="shared" si="11"/>
        <v>907.97</v>
      </c>
      <c r="CA16" s="987">
        <v>907.97</v>
      </c>
      <c r="CB16" s="808">
        <f>BZ16/100*103.5</f>
        <v>939.74895000000004</v>
      </c>
      <c r="CF16" s="238" t="s">
        <v>215</v>
      </c>
      <c r="CG16" s="244"/>
      <c r="CH16" s="236">
        <f>SUM(CG15:CG16)</f>
        <v>5000</v>
      </c>
      <c r="CI16" s="236"/>
      <c r="CJ16" s="243"/>
      <c r="CL16" s="846"/>
      <c r="CM16" s="827"/>
      <c r="CN16" s="827"/>
      <c r="CO16" s="827"/>
      <c r="CP16" s="827"/>
      <c r="CQ16" s="827"/>
      <c r="CR16" s="828"/>
    </row>
    <row r="17" spans="1:97" ht="60.6" customHeight="1" x14ac:dyDescent="0.35">
      <c r="A17" s="415" t="s">
        <v>133</v>
      </c>
      <c r="B17" s="61">
        <v>40</v>
      </c>
      <c r="C17" s="265">
        <v>0</v>
      </c>
      <c r="D17" s="45">
        <v>50</v>
      </c>
      <c r="E17" s="46">
        <v>0</v>
      </c>
      <c r="F17" s="46"/>
      <c r="G17" s="45" t="s">
        <v>55</v>
      </c>
      <c r="H17" s="46" t="s">
        <v>55</v>
      </c>
      <c r="I17" s="44"/>
      <c r="J17" s="47"/>
      <c r="K17" s="48"/>
      <c r="L17" s="62"/>
      <c r="M17" s="63"/>
      <c r="N17" s="62">
        <v>0</v>
      </c>
      <c r="O17" s="29">
        <v>0</v>
      </c>
      <c r="P17" s="95">
        <f t="shared" si="2"/>
        <v>0</v>
      </c>
      <c r="Q17" s="19"/>
      <c r="R17" s="53">
        <f t="shared" si="3"/>
        <v>0</v>
      </c>
      <c r="S17" s="54"/>
      <c r="T17" s="55">
        <v>0</v>
      </c>
      <c r="U17" s="34"/>
      <c r="V17" s="33"/>
      <c r="W17" s="34">
        <v>0</v>
      </c>
      <c r="X17" s="33"/>
      <c r="Y17" s="56"/>
      <c r="Z17" s="33"/>
      <c r="AA17" s="55"/>
      <c r="AB17" s="65"/>
      <c r="AC17" s="40"/>
      <c r="AD17" s="59"/>
      <c r="AE17" s="19"/>
      <c r="AF17" s="62"/>
      <c r="AG17" s="58"/>
      <c r="AH17" s="42"/>
      <c r="AI17" s="263"/>
      <c r="AJ17" s="178"/>
      <c r="AK17" s="62">
        <v>1379.08</v>
      </c>
      <c r="AL17" s="179"/>
      <c r="AM17" s="56"/>
      <c r="AN17" s="56">
        <f t="shared" si="13"/>
        <v>1379.08</v>
      </c>
      <c r="AO17" s="179"/>
      <c r="AP17" s="183"/>
      <c r="AQ17" s="264"/>
      <c r="AR17" s="56">
        <f>1829.08-60</f>
        <v>1769.08</v>
      </c>
      <c r="AS17" s="345">
        <v>0</v>
      </c>
      <c r="AT17" s="357">
        <f>'[1]Current Account'!AC156</f>
        <v>225</v>
      </c>
      <c r="AU17" s="357" t="s">
        <v>162</v>
      </c>
      <c r="AV17" s="347"/>
      <c r="AW17" s="352"/>
      <c r="AX17" s="353"/>
      <c r="AY17" s="354"/>
      <c r="AZ17" s="352">
        <f>'[1]Current Account'!AC156</f>
        <v>225</v>
      </c>
      <c r="BA17" s="353"/>
      <c r="BB17" s="358" t="s">
        <v>208</v>
      </c>
      <c r="BC17" s="359"/>
      <c r="BD17" s="360"/>
      <c r="BE17" s="349">
        <v>809.69</v>
      </c>
      <c r="BF17" s="350"/>
      <c r="BG17" s="375">
        <v>0</v>
      </c>
      <c r="BH17" s="434">
        <v>0</v>
      </c>
      <c r="BI17" s="376">
        <v>0</v>
      </c>
      <c r="BJ17" s="376">
        <f t="shared" si="0"/>
        <v>0</v>
      </c>
      <c r="BL17" s="349">
        <f>'[2]Current Account'!AF172</f>
        <v>0</v>
      </c>
      <c r="BM17" s="733"/>
      <c r="BN17" s="438"/>
      <c r="BO17" s="808"/>
      <c r="BP17" s="783"/>
      <c r="BQ17" s="801">
        <v>500</v>
      </c>
      <c r="BR17" s="785">
        <v>0</v>
      </c>
      <c r="BS17" s="792">
        <f t="shared" si="1"/>
        <v>500</v>
      </c>
      <c r="BT17" s="792">
        <v>500</v>
      </c>
      <c r="BU17" s="798"/>
      <c r="BV17" s="794">
        <v>0</v>
      </c>
      <c r="BW17" s="872">
        <f>'Current Account'!AD184</f>
        <v>0</v>
      </c>
      <c r="BX17" s="796">
        <v>0</v>
      </c>
      <c r="BY17" s="796"/>
      <c r="BZ17" s="796">
        <f t="shared" si="11"/>
        <v>0</v>
      </c>
      <c r="CA17" s="796">
        <v>0</v>
      </c>
      <c r="CB17" s="808"/>
      <c r="CF17" s="238"/>
      <c r="CG17" s="242"/>
      <c r="CH17" s="242"/>
      <c r="CI17" s="242"/>
      <c r="CJ17" s="243"/>
      <c r="CL17" s="845" t="s">
        <v>245</v>
      </c>
      <c r="CM17" s="817"/>
      <c r="CN17" s="817"/>
      <c r="CO17" s="817"/>
      <c r="CP17" s="817"/>
      <c r="CQ17" s="825"/>
      <c r="CR17" s="829">
        <f>SUM(CQ4:CQ14)</f>
        <v>76591.34</v>
      </c>
      <c r="CS17" s="847"/>
    </row>
    <row r="18" spans="1:97" ht="28.2" x14ac:dyDescent="0.35">
      <c r="A18" s="415" t="s">
        <v>66</v>
      </c>
      <c r="B18" s="61">
        <v>2500</v>
      </c>
      <c r="C18" s="265">
        <v>1636</v>
      </c>
      <c r="D18" s="276">
        <v>2500</v>
      </c>
      <c r="E18" s="277">
        <v>1215</v>
      </c>
      <c r="F18" s="277">
        <v>5023</v>
      </c>
      <c r="G18" s="276">
        <v>2500</v>
      </c>
      <c r="H18" s="277">
        <v>1235</v>
      </c>
      <c r="I18" s="61">
        <v>2500</v>
      </c>
      <c r="J18" s="278">
        <v>2965</v>
      </c>
      <c r="K18" s="279">
        <v>3000</v>
      </c>
      <c r="L18" s="62">
        <v>4681.51</v>
      </c>
      <c r="M18" s="63">
        <v>21000</v>
      </c>
      <c r="N18" s="62">
        <v>14418.93</v>
      </c>
      <c r="O18" s="29">
        <v>-3718.51</v>
      </c>
      <c r="P18" s="95">
        <f t="shared" si="2"/>
        <v>10700.42</v>
      </c>
      <c r="Q18" s="19"/>
      <c r="R18" s="53">
        <f t="shared" si="3"/>
        <v>10700.42</v>
      </c>
      <c r="S18" s="205">
        <f>R18/M18</f>
        <v>0.50954380952380951</v>
      </c>
      <c r="T18" s="55">
        <v>20000</v>
      </c>
      <c r="U18" s="34">
        <f>15171.21+589</f>
        <v>15760.21</v>
      </c>
      <c r="V18" s="33">
        <f t="shared" si="4"/>
        <v>0.78801049999999995</v>
      </c>
      <c r="W18" s="34">
        <f>25621.83-6244</f>
        <v>19377.830000000002</v>
      </c>
      <c r="X18" s="33">
        <f t="shared" si="5"/>
        <v>0.96889150000000013</v>
      </c>
      <c r="Y18" s="56">
        <v>20402.830000000002</v>
      </c>
      <c r="Z18" s="33">
        <f>Y18/T18</f>
        <v>1.0201415</v>
      </c>
      <c r="AA18" s="55">
        <v>15000</v>
      </c>
      <c r="AB18" s="66">
        <v>1624</v>
      </c>
      <c r="AC18" s="206">
        <f>AB18/AA18</f>
        <v>0.10826666666666666</v>
      </c>
      <c r="AD18" s="202"/>
      <c r="AE18" s="280" t="s">
        <v>67</v>
      </c>
      <c r="AF18" s="62">
        <v>2998</v>
      </c>
      <c r="AG18" s="206">
        <f>AF18/AA18</f>
        <v>0.19986666666666666</v>
      </c>
      <c r="AH18" s="69">
        <v>6000</v>
      </c>
      <c r="AI18" s="267">
        <v>830</v>
      </c>
      <c r="AJ18" s="178">
        <f t="shared" si="6"/>
        <v>0.13833333333333334</v>
      </c>
      <c r="AK18" s="268">
        <f>6612.4+1480+500</f>
        <v>8592.4</v>
      </c>
      <c r="AL18" s="179">
        <f t="shared" si="7"/>
        <v>1.4320666666666666</v>
      </c>
      <c r="AM18" s="56">
        <v>0</v>
      </c>
      <c r="AN18" s="56">
        <f t="shared" si="13"/>
        <v>8592.4</v>
      </c>
      <c r="AO18" s="179">
        <f t="shared" si="8"/>
        <v>1.4320666666666666</v>
      </c>
      <c r="AP18" s="184" t="s">
        <v>149</v>
      </c>
      <c r="AQ18" s="281" t="s">
        <v>137</v>
      </c>
      <c r="AR18" s="56">
        <v>13678.74</v>
      </c>
      <c r="AS18" s="348">
        <v>7500</v>
      </c>
      <c r="AT18" s="351">
        <f>'[1]Current Account'!AB156</f>
        <v>996.25</v>
      </c>
      <c r="AU18" s="351">
        <v>1490</v>
      </c>
      <c r="AV18" s="347">
        <f t="shared" si="9"/>
        <v>0.19866666666666666</v>
      </c>
      <c r="AW18" s="352">
        <v>2550.42</v>
      </c>
      <c r="AX18" s="353">
        <f t="shared" si="10"/>
        <v>0.34005600000000002</v>
      </c>
      <c r="AY18" s="354">
        <v>5090</v>
      </c>
      <c r="AZ18" s="352">
        <f>'[1]Current Account'!AB156</f>
        <v>996.25</v>
      </c>
      <c r="BA18" s="353">
        <f t="shared" si="14"/>
        <v>0.19572691552062868</v>
      </c>
      <c r="BB18" s="355"/>
      <c r="BC18" s="354">
        <v>10940</v>
      </c>
      <c r="BD18" s="356"/>
      <c r="BE18" s="349">
        <v>7921.11</v>
      </c>
      <c r="BF18" s="350">
        <f>BL18/BC18</f>
        <v>4.5551188299817191E-2</v>
      </c>
      <c r="BG18" s="375">
        <v>5800</v>
      </c>
      <c r="BH18" s="434">
        <v>208.33</v>
      </c>
      <c r="BI18" s="376">
        <f>BG18-BH18</f>
        <v>5591.67</v>
      </c>
      <c r="BJ18" s="376">
        <f t="shared" si="0"/>
        <v>5800</v>
      </c>
      <c r="BL18" s="349">
        <f>'[2]Current Account'!AE172</f>
        <v>498.33000000000004</v>
      </c>
      <c r="BM18" s="733">
        <f t="shared" si="12"/>
        <v>8.5918965517241389E-2</v>
      </c>
      <c r="BN18" s="438">
        <v>4800</v>
      </c>
      <c r="BO18" s="808">
        <v>4800</v>
      </c>
      <c r="BP18" s="783" t="s">
        <v>292</v>
      </c>
      <c r="BQ18" s="801">
        <v>500</v>
      </c>
      <c r="BR18" s="785">
        <v>2300</v>
      </c>
      <c r="BS18" s="792">
        <f t="shared" si="1"/>
        <v>2800</v>
      </c>
      <c r="BT18" s="792">
        <v>1611</v>
      </c>
      <c r="BU18" s="798">
        <f t="shared" si="17"/>
        <v>0.33562500000000001</v>
      </c>
      <c r="BV18" s="794">
        <v>4800</v>
      </c>
      <c r="BW18" s="879">
        <f>'Current Account'!AC184</f>
        <v>5275</v>
      </c>
      <c r="BX18" s="796">
        <v>1550</v>
      </c>
      <c r="BY18" s="796">
        <v>3000</v>
      </c>
      <c r="BZ18" s="796">
        <f t="shared" si="11"/>
        <v>4550</v>
      </c>
      <c r="CA18" s="987">
        <f>5275-315</f>
        <v>4960</v>
      </c>
      <c r="CB18" s="808" t="s">
        <v>1358</v>
      </c>
      <c r="CC18" s="594" t="s">
        <v>1181</v>
      </c>
      <c r="CF18" s="238" t="s">
        <v>147</v>
      </c>
      <c r="CG18" s="241"/>
      <c r="CH18" s="241"/>
      <c r="CI18" s="241"/>
      <c r="CJ18" s="245">
        <f>SUM(CH5:CH16)</f>
        <v>15000</v>
      </c>
      <c r="CL18" s="845" t="s">
        <v>58</v>
      </c>
      <c r="CM18" s="822"/>
      <c r="CN18" s="822"/>
      <c r="CO18" s="822"/>
      <c r="CP18" s="822"/>
      <c r="CQ18" s="822"/>
      <c r="CR18" s="830">
        <f>CR29-CR2-CR17</f>
        <v>80931.545049999957</v>
      </c>
      <c r="CS18" s="847"/>
    </row>
    <row r="19" spans="1:97" ht="30" customHeight="1" thickBot="1" x14ac:dyDescent="0.4">
      <c r="A19" s="415" t="s">
        <v>68</v>
      </c>
      <c r="B19" s="61">
        <v>2927.15</v>
      </c>
      <c r="C19" s="265">
        <v>2927.18</v>
      </c>
      <c r="D19" s="276">
        <v>5000</v>
      </c>
      <c r="E19" s="277">
        <v>4446.37</v>
      </c>
      <c r="F19" s="277">
        <v>5375.82</v>
      </c>
      <c r="G19" s="276">
        <v>7500</v>
      </c>
      <c r="H19" s="277">
        <v>4345.13</v>
      </c>
      <c r="I19" s="61">
        <v>6500</v>
      </c>
      <c r="J19" s="278">
        <v>6478.7</v>
      </c>
      <c r="K19" s="279">
        <v>6000</v>
      </c>
      <c r="L19" s="62">
        <v>4984.3999999999996</v>
      </c>
      <c r="M19" s="63">
        <v>5300</v>
      </c>
      <c r="N19" s="62">
        <v>5774.22</v>
      </c>
      <c r="O19" s="29">
        <v>0</v>
      </c>
      <c r="P19" s="95">
        <f t="shared" si="2"/>
        <v>5774.22</v>
      </c>
      <c r="Q19" s="19"/>
      <c r="R19" s="53">
        <f t="shared" si="3"/>
        <v>5774.22</v>
      </c>
      <c r="S19" s="205">
        <f>R19/M19</f>
        <v>1.0894754716981132</v>
      </c>
      <c r="T19" s="55">
        <v>6000</v>
      </c>
      <c r="U19" s="34">
        <v>2012.8</v>
      </c>
      <c r="V19" s="33">
        <f t="shared" si="4"/>
        <v>0.33546666666666664</v>
      </c>
      <c r="W19" s="34">
        <v>4277.2</v>
      </c>
      <c r="X19" s="33">
        <f t="shared" si="5"/>
        <v>0.71286666666666665</v>
      </c>
      <c r="Y19" s="56">
        <v>6164.2</v>
      </c>
      <c r="Z19" s="33">
        <f>Y19/T19</f>
        <v>1.0273666666666665</v>
      </c>
      <c r="AA19" s="55">
        <v>6500</v>
      </c>
      <c r="AB19" s="66">
        <v>2767.6</v>
      </c>
      <c r="AC19" s="206">
        <f>AB19/AA19</f>
        <v>0.42578461538461537</v>
      </c>
      <c r="AD19" s="202"/>
      <c r="AE19" s="280"/>
      <c r="AF19" s="62">
        <v>6352.9</v>
      </c>
      <c r="AG19" s="206">
        <f>AF19/AA19</f>
        <v>0.97736923076923077</v>
      </c>
      <c r="AH19" s="69">
        <v>9000</v>
      </c>
      <c r="AI19" s="267"/>
      <c r="AJ19" s="178">
        <f t="shared" si="6"/>
        <v>0</v>
      </c>
      <c r="AK19" s="268">
        <v>2516</v>
      </c>
      <c r="AL19" s="179">
        <f t="shared" si="7"/>
        <v>0.27955555555555556</v>
      </c>
      <c r="AM19" s="56">
        <f>452.88*5</f>
        <v>2264.4</v>
      </c>
      <c r="AN19" s="56">
        <f t="shared" si="13"/>
        <v>4780.3999999999996</v>
      </c>
      <c r="AO19" s="179">
        <f t="shared" si="8"/>
        <v>0.53115555555555549</v>
      </c>
      <c r="AP19" s="183"/>
      <c r="AQ19" s="281"/>
      <c r="AR19" s="56">
        <v>4676.7</v>
      </c>
      <c r="AS19" s="348">
        <v>9000</v>
      </c>
      <c r="AT19" s="351">
        <f>'[1]Current Account'!O156</f>
        <v>6482.4000000000005</v>
      </c>
      <c r="AU19" s="351">
        <v>4218</v>
      </c>
      <c r="AV19" s="347">
        <f t="shared" si="9"/>
        <v>0.46866666666666668</v>
      </c>
      <c r="AW19" s="352">
        <v>6382.5</v>
      </c>
      <c r="AX19" s="353">
        <f t="shared" si="10"/>
        <v>0.70916666666666661</v>
      </c>
      <c r="AY19" s="354">
        <v>9200</v>
      </c>
      <c r="AZ19" s="352">
        <f>'[1]Current Account'!O156</f>
        <v>6482.4000000000005</v>
      </c>
      <c r="BA19" s="353">
        <f t="shared" si="14"/>
        <v>0.70460869565217399</v>
      </c>
      <c r="BB19" s="356"/>
      <c r="BC19" s="354">
        <v>9944.7999999999993</v>
      </c>
      <c r="BD19" s="356" t="s">
        <v>218</v>
      </c>
      <c r="BE19" s="349">
        <v>7532.1</v>
      </c>
      <c r="BF19" s="350">
        <f>BL19/BC19</f>
        <v>0.49933432547663104</v>
      </c>
      <c r="BG19" s="375">
        <v>10255</v>
      </c>
      <c r="BH19" s="434">
        <v>4127.8599999999997</v>
      </c>
      <c r="BI19" s="376">
        <f>BH19/8*4</f>
        <v>2063.9299999999998</v>
      </c>
      <c r="BJ19" s="376">
        <f t="shared" si="0"/>
        <v>6191.7899999999991</v>
      </c>
      <c r="BL19" s="349">
        <f>'[2]Current Account'!O172</f>
        <v>4965.78</v>
      </c>
      <c r="BM19" s="733">
        <f t="shared" si="12"/>
        <v>0.48423013164310091</v>
      </c>
      <c r="BN19" s="438">
        <v>10000</v>
      </c>
      <c r="BO19" s="808">
        <v>10000</v>
      </c>
      <c r="BP19" s="790" t="s">
        <v>293</v>
      </c>
      <c r="BQ19" s="791">
        <v>4556.0600000000004</v>
      </c>
      <c r="BR19" s="785">
        <f>21.66*175</f>
        <v>3790.5</v>
      </c>
      <c r="BS19" s="792">
        <f t="shared" si="1"/>
        <v>8346.5600000000013</v>
      </c>
      <c r="BT19" s="792">
        <v>8175.22</v>
      </c>
      <c r="BU19" s="798">
        <f t="shared" si="17"/>
        <v>0.81752199999999997</v>
      </c>
      <c r="BV19" s="794">
        <v>12500</v>
      </c>
      <c r="BW19" s="879">
        <f>'Current Account'!M184</f>
        <v>8552.07</v>
      </c>
      <c r="BX19" s="796">
        <v>5162.33</v>
      </c>
      <c r="BY19" s="796">
        <f>BX19/7*5+1000</f>
        <v>4687.3785714285714</v>
      </c>
      <c r="BZ19" s="796">
        <f t="shared" si="11"/>
        <v>9849.7085714285713</v>
      </c>
      <c r="CA19" s="987">
        <v>8552.07</v>
      </c>
      <c r="CB19" s="808">
        <f>12480+1000</f>
        <v>13480</v>
      </c>
      <c r="CC19" s="594" t="s">
        <v>1185</v>
      </c>
      <c r="CD19" s="431"/>
      <c r="CF19" s="238"/>
      <c r="CG19" s="241"/>
      <c r="CH19" s="241"/>
      <c r="CI19" s="241"/>
      <c r="CJ19" s="240"/>
      <c r="CL19" s="845"/>
      <c r="CM19" s="817"/>
      <c r="CN19" s="817"/>
      <c r="CO19" s="817"/>
      <c r="CP19" s="817"/>
      <c r="CQ19" s="817"/>
      <c r="CR19" s="831">
        <f>CR29</f>
        <v>246668.51999999996</v>
      </c>
      <c r="CS19" s="847"/>
    </row>
    <row r="20" spans="1:97" ht="30" customHeight="1" thickTop="1" x14ac:dyDescent="0.35">
      <c r="A20" s="415" t="s">
        <v>690</v>
      </c>
      <c r="B20" s="61">
        <v>200</v>
      </c>
      <c r="C20" s="265">
        <v>1584.64</v>
      </c>
      <c r="D20" s="276">
        <v>500</v>
      </c>
      <c r="E20" s="277">
        <v>1994.1</v>
      </c>
      <c r="F20" s="277"/>
      <c r="G20" s="276">
        <v>1000</v>
      </c>
      <c r="H20" s="277">
        <v>4233.18</v>
      </c>
      <c r="I20" s="61">
        <v>1000</v>
      </c>
      <c r="J20" s="282">
        <v>4585.72</v>
      </c>
      <c r="K20" s="279">
        <v>4000</v>
      </c>
      <c r="L20" s="62">
        <f>383+825.2</f>
        <v>1208.2</v>
      </c>
      <c r="M20" s="63">
        <v>3000</v>
      </c>
      <c r="N20" s="62">
        <v>1600</v>
      </c>
      <c r="O20" s="29">
        <v>0</v>
      </c>
      <c r="P20" s="95">
        <f t="shared" si="2"/>
        <v>1600</v>
      </c>
      <c r="Q20" s="19"/>
      <c r="R20" s="53">
        <f t="shared" si="3"/>
        <v>1600</v>
      </c>
      <c r="S20" s="205">
        <f>R20/M20</f>
        <v>0.53333333333333333</v>
      </c>
      <c r="T20" s="55">
        <v>5000</v>
      </c>
      <c r="U20" s="34">
        <v>626</v>
      </c>
      <c r="V20" s="33">
        <f t="shared" si="4"/>
        <v>0.12520000000000001</v>
      </c>
      <c r="W20" s="34">
        <v>1698</v>
      </c>
      <c r="X20" s="33">
        <f t="shared" si="5"/>
        <v>0.33960000000000001</v>
      </c>
      <c r="Y20" s="56">
        <v>1698</v>
      </c>
      <c r="Z20" s="33">
        <f>Y20/T20</f>
        <v>0.33960000000000001</v>
      </c>
      <c r="AA20" s="55">
        <v>3500</v>
      </c>
      <c r="AB20" s="66">
        <v>193.15</v>
      </c>
      <c r="AC20" s="206">
        <f>AB20/AA20</f>
        <v>5.5185714285714289E-2</v>
      </c>
      <c r="AD20" s="202"/>
      <c r="AE20" s="280"/>
      <c r="AF20" s="62">
        <f>404.14+2429</f>
        <v>2833.14</v>
      </c>
      <c r="AG20" s="206">
        <f>AF20/AA20</f>
        <v>0.80946857142857143</v>
      </c>
      <c r="AH20" s="68">
        <v>3500</v>
      </c>
      <c r="AI20" s="271"/>
      <c r="AJ20" s="178">
        <f t="shared" si="6"/>
        <v>0</v>
      </c>
      <c r="AK20" s="272">
        <v>192</v>
      </c>
      <c r="AL20" s="179">
        <f t="shared" si="7"/>
        <v>5.4857142857142854E-2</v>
      </c>
      <c r="AM20" s="56">
        <v>100</v>
      </c>
      <c r="AN20" s="56">
        <f t="shared" si="13"/>
        <v>292</v>
      </c>
      <c r="AO20" s="179">
        <f t="shared" si="8"/>
        <v>8.3428571428571435E-2</v>
      </c>
      <c r="AP20" s="183"/>
      <c r="AQ20" s="273"/>
      <c r="AR20" s="56">
        <v>442</v>
      </c>
      <c r="AS20" s="363">
        <v>3500</v>
      </c>
      <c r="AT20" s="364">
        <f>'[1]Current Account'!AD156</f>
        <v>1411</v>
      </c>
      <c r="AU20" s="364">
        <v>343</v>
      </c>
      <c r="AV20" s="347">
        <f t="shared" si="9"/>
        <v>9.8000000000000004E-2</v>
      </c>
      <c r="AW20" s="352">
        <v>343</v>
      </c>
      <c r="AX20" s="353">
        <f t="shared" si="10"/>
        <v>9.8000000000000004E-2</v>
      </c>
      <c r="AY20" s="354">
        <v>1000</v>
      </c>
      <c r="AZ20" s="352">
        <f>'[1]Current Account'!AD156-500</f>
        <v>911</v>
      </c>
      <c r="BA20" s="353">
        <f t="shared" si="14"/>
        <v>0.91100000000000003</v>
      </c>
      <c r="BB20" s="356"/>
      <c r="BC20" s="354">
        <v>1000</v>
      </c>
      <c r="BD20" s="356"/>
      <c r="BE20" s="349">
        <v>303</v>
      </c>
      <c r="BF20" s="350">
        <f>BL20/BC20</f>
        <v>0.47864999999999996</v>
      </c>
      <c r="BG20" s="375">
        <v>2600</v>
      </c>
      <c r="BH20" s="434">
        <v>478.65</v>
      </c>
      <c r="BI20" s="376">
        <f>BH20/8*4</f>
        <v>239.32499999999999</v>
      </c>
      <c r="BJ20" s="376">
        <f t="shared" si="0"/>
        <v>717.97499999999991</v>
      </c>
      <c r="BL20" s="349">
        <f>'[2]Current Account'!AG172+'[2]Current Account'!AH172</f>
        <v>478.65</v>
      </c>
      <c r="BM20" s="733">
        <f t="shared" si="12"/>
        <v>0.18409615384615383</v>
      </c>
      <c r="BN20" s="438">
        <v>2600</v>
      </c>
      <c r="BO20" s="808">
        <v>2600</v>
      </c>
      <c r="BP20" s="783"/>
      <c r="BQ20" s="801">
        <v>0</v>
      </c>
      <c r="BR20" s="785">
        <v>1085</v>
      </c>
      <c r="BS20" s="792">
        <f t="shared" si="1"/>
        <v>1085</v>
      </c>
      <c r="BT20" s="792">
        <v>0</v>
      </c>
      <c r="BU20" s="798">
        <f t="shared" si="17"/>
        <v>0</v>
      </c>
      <c r="BV20" s="794">
        <v>2000</v>
      </c>
      <c r="BW20" s="872">
        <f>'Current Account'!AF184</f>
        <v>0</v>
      </c>
      <c r="BX20" s="796">
        <v>0</v>
      </c>
      <c r="BY20" s="796">
        <f>BV20/12*4</f>
        <v>666.66666666666663</v>
      </c>
      <c r="BZ20" s="796">
        <f t="shared" si="11"/>
        <v>666.66666666666663</v>
      </c>
      <c r="CA20" s="796">
        <v>0</v>
      </c>
      <c r="CB20" s="808">
        <v>500</v>
      </c>
      <c r="CF20" s="238" t="s">
        <v>58</v>
      </c>
      <c r="CG20" s="242"/>
      <c r="CH20" s="242"/>
      <c r="CI20" s="242"/>
      <c r="CJ20" s="245">
        <f>CJ21-CJ2-CJ18</f>
        <v>570558.82999999984</v>
      </c>
      <c r="CL20" s="845"/>
      <c r="CM20" s="817"/>
      <c r="CN20" s="817"/>
      <c r="CO20" s="817"/>
      <c r="CP20" s="817"/>
      <c r="CQ20" s="817"/>
      <c r="CR20" s="832"/>
      <c r="CS20" s="847"/>
    </row>
    <row r="21" spans="1:97" ht="30" customHeight="1" thickBot="1" x14ac:dyDescent="0.4">
      <c r="A21" s="415"/>
      <c r="B21" s="61">
        <v>500</v>
      </c>
      <c r="C21" s="265">
        <v>1045.94</v>
      </c>
      <c r="D21" s="276">
        <v>600</v>
      </c>
      <c r="E21" s="277">
        <v>769.8</v>
      </c>
      <c r="F21" s="277"/>
      <c r="G21" s="276" t="s">
        <v>55</v>
      </c>
      <c r="H21" s="277"/>
      <c r="I21" s="61"/>
      <c r="J21" s="278"/>
      <c r="K21" s="279"/>
      <c r="L21" s="62">
        <v>1673.32</v>
      </c>
      <c r="M21" s="63"/>
      <c r="N21" s="62">
        <v>5096.16</v>
      </c>
      <c r="O21" s="29">
        <v>0</v>
      </c>
      <c r="P21" s="95">
        <f t="shared" si="2"/>
        <v>5096.16</v>
      </c>
      <c r="Q21" s="19"/>
      <c r="R21" s="53">
        <f t="shared" si="3"/>
        <v>5096.16</v>
      </c>
      <c r="S21" s="205"/>
      <c r="T21" s="55">
        <v>0</v>
      </c>
      <c r="U21" s="34"/>
      <c r="V21" s="33"/>
      <c r="W21" s="34"/>
      <c r="X21" s="33"/>
      <c r="Y21" s="56"/>
      <c r="Z21" s="33"/>
      <c r="AA21" s="55"/>
      <c r="AB21" s="66"/>
      <c r="AC21" s="206"/>
      <c r="AD21" s="202"/>
      <c r="AE21" s="280"/>
      <c r="AF21" s="62"/>
      <c r="AG21" s="206"/>
      <c r="AH21" s="68"/>
      <c r="AI21" s="271"/>
      <c r="AJ21" s="178"/>
      <c r="AK21" s="272"/>
      <c r="AL21" s="179"/>
      <c r="AM21" s="56">
        <v>0</v>
      </c>
      <c r="AN21" s="56">
        <f t="shared" si="13"/>
        <v>0</v>
      </c>
      <c r="AO21" s="179"/>
      <c r="AP21" s="183"/>
      <c r="AQ21" s="273"/>
      <c r="AR21" s="56"/>
      <c r="AS21" s="363"/>
      <c r="AT21" s="364"/>
      <c r="AU21" s="364">
        <v>0</v>
      </c>
      <c r="AV21" s="347"/>
      <c r="AW21" s="352"/>
      <c r="AX21" s="353"/>
      <c r="AY21" s="354"/>
      <c r="AZ21" s="352"/>
      <c r="BA21" s="353"/>
      <c r="BB21" s="356"/>
      <c r="BC21" s="354"/>
      <c r="BD21" s="356"/>
      <c r="BE21" s="349"/>
      <c r="BF21" s="350"/>
      <c r="BG21" s="375"/>
      <c r="BH21" s="434"/>
      <c r="BI21" s="376"/>
      <c r="BJ21" s="376">
        <f t="shared" si="0"/>
        <v>0</v>
      </c>
      <c r="BL21" s="349"/>
      <c r="BM21" s="733"/>
      <c r="BN21" s="438"/>
      <c r="BO21" s="808"/>
      <c r="BP21" s="783"/>
      <c r="BQ21" s="801"/>
      <c r="BR21" s="785">
        <v>0</v>
      </c>
      <c r="BS21" s="792">
        <f t="shared" si="1"/>
        <v>0</v>
      </c>
      <c r="BT21" s="792">
        <v>0</v>
      </c>
      <c r="BU21" s="798"/>
      <c r="BV21" s="794"/>
      <c r="BW21" s="872">
        <v>0</v>
      </c>
      <c r="BX21" s="796">
        <v>0</v>
      </c>
      <c r="BY21" s="796"/>
      <c r="BZ21" s="796">
        <f t="shared" si="11"/>
        <v>0</v>
      </c>
      <c r="CA21" s="796">
        <v>0</v>
      </c>
      <c r="CB21" s="808"/>
      <c r="CF21" s="238"/>
      <c r="CG21" s="241"/>
      <c r="CH21" s="241"/>
      <c r="CI21" s="241"/>
      <c r="CJ21" s="246">
        <f>CJ28</f>
        <v>654449.00999999978</v>
      </c>
      <c r="CL21" s="842" t="s">
        <v>1193</v>
      </c>
      <c r="CM21" s="814"/>
      <c r="CN21" s="814"/>
      <c r="CO21" s="814"/>
      <c r="CP21" s="814"/>
      <c r="CQ21" s="814"/>
      <c r="CR21" s="833">
        <f>156717.58-CR22-CR23-CR24</f>
        <v>102251.23999999998</v>
      </c>
      <c r="CS21" s="847"/>
    </row>
    <row r="22" spans="1:97" ht="30" customHeight="1" thickTop="1" x14ac:dyDescent="0.35">
      <c r="A22" s="415" t="s">
        <v>71</v>
      </c>
      <c r="B22" s="61"/>
      <c r="C22" s="265"/>
      <c r="D22" s="276"/>
      <c r="E22" s="277"/>
      <c r="F22" s="277"/>
      <c r="G22" s="276"/>
      <c r="H22" s="277">
        <v>133.62</v>
      </c>
      <c r="I22" s="61"/>
      <c r="J22" s="278">
        <v>278.5</v>
      </c>
      <c r="K22" s="279">
        <v>100</v>
      </c>
      <c r="L22" s="62">
        <v>18.940000000000001</v>
      </c>
      <c r="M22" s="63">
        <v>20</v>
      </c>
      <c r="N22" s="62">
        <v>22.08</v>
      </c>
      <c r="O22" s="29">
        <v>0</v>
      </c>
      <c r="P22" s="95">
        <f t="shared" si="2"/>
        <v>22.08</v>
      </c>
      <c r="Q22" s="19"/>
      <c r="R22" s="53">
        <f t="shared" si="3"/>
        <v>22.08</v>
      </c>
      <c r="S22" s="205">
        <f>R22/M22</f>
        <v>1.1039999999999999</v>
      </c>
      <c r="T22" s="55">
        <v>30</v>
      </c>
      <c r="U22" s="34"/>
      <c r="V22" s="33">
        <f t="shared" si="4"/>
        <v>0</v>
      </c>
      <c r="W22" s="34">
        <v>386.82</v>
      </c>
      <c r="X22" s="33">
        <f t="shared" si="5"/>
        <v>12.894</v>
      </c>
      <c r="Y22" s="56">
        <v>386.82</v>
      </c>
      <c r="Z22" s="33">
        <f>Y22/T22</f>
        <v>12.894</v>
      </c>
      <c r="AA22" s="55">
        <v>30</v>
      </c>
      <c r="AB22" s="66">
        <v>0</v>
      </c>
      <c r="AC22" s="206">
        <f>AB22/AA22</f>
        <v>0</v>
      </c>
      <c r="AD22" s="202" t="s">
        <v>72</v>
      </c>
      <c r="AE22" s="280"/>
      <c r="AF22" s="62">
        <v>49.05</v>
      </c>
      <c r="AG22" s="206">
        <f>AF22/AA22</f>
        <v>1.635</v>
      </c>
      <c r="AH22" s="68">
        <v>100</v>
      </c>
      <c r="AI22" s="271"/>
      <c r="AJ22" s="178">
        <f t="shared" si="6"/>
        <v>0</v>
      </c>
      <c r="AK22" s="272">
        <v>27.84</v>
      </c>
      <c r="AL22" s="179">
        <f t="shared" si="7"/>
        <v>0.27839999999999998</v>
      </c>
      <c r="AM22" s="56">
        <v>59.45</v>
      </c>
      <c r="AN22" s="56">
        <f t="shared" si="13"/>
        <v>87.29</v>
      </c>
      <c r="AO22" s="179">
        <f t="shared" si="8"/>
        <v>0.87290000000000001</v>
      </c>
      <c r="AP22" s="183"/>
      <c r="AQ22" s="273"/>
      <c r="AR22" s="56">
        <v>87.29</v>
      </c>
      <c r="AS22" s="363">
        <v>100</v>
      </c>
      <c r="AT22" s="364">
        <f>'[1]Current Account'!V156</f>
        <v>506.31</v>
      </c>
      <c r="AU22" s="364">
        <v>81.75</v>
      </c>
      <c r="AV22" s="347">
        <f t="shared" si="9"/>
        <v>0.8175</v>
      </c>
      <c r="AW22" s="352">
        <v>81.75</v>
      </c>
      <c r="AX22" s="353">
        <f t="shared" si="10"/>
        <v>0.8175</v>
      </c>
      <c r="AY22" s="354">
        <v>100</v>
      </c>
      <c r="AZ22" s="352">
        <f>'[1]Current Account'!V156</f>
        <v>506.31</v>
      </c>
      <c r="BA22" s="353">
        <f t="shared" si="14"/>
        <v>5.0631000000000004</v>
      </c>
      <c r="BB22" s="365" t="s">
        <v>221</v>
      </c>
      <c r="BC22" s="359">
        <v>110</v>
      </c>
      <c r="BD22" s="360" t="s">
        <v>220</v>
      </c>
      <c r="BE22" s="349">
        <v>128.11000000000001</v>
      </c>
      <c r="BF22" s="350">
        <f>BL22/BC22</f>
        <v>0.94827272727272727</v>
      </c>
      <c r="BG22" s="375">
        <v>140</v>
      </c>
      <c r="BH22" s="434">
        <v>104.31</v>
      </c>
      <c r="BI22" s="376">
        <v>0</v>
      </c>
      <c r="BJ22" s="376">
        <f t="shared" si="0"/>
        <v>104.31</v>
      </c>
      <c r="BL22" s="349">
        <f>'[2]Current Account'!Y172</f>
        <v>104.31</v>
      </c>
      <c r="BM22" s="733">
        <f t="shared" si="12"/>
        <v>0.74507142857142861</v>
      </c>
      <c r="BN22" s="438">
        <v>500</v>
      </c>
      <c r="BO22" s="808">
        <v>500</v>
      </c>
      <c r="BP22" s="783"/>
      <c r="BQ22" s="801">
        <v>600</v>
      </c>
      <c r="BR22" s="785">
        <v>0</v>
      </c>
      <c r="BS22" s="792">
        <f t="shared" si="1"/>
        <v>600</v>
      </c>
      <c r="BT22" s="792">
        <v>600</v>
      </c>
      <c r="BU22" s="798">
        <f t="shared" si="17"/>
        <v>1.2</v>
      </c>
      <c r="BV22" s="794">
        <v>500</v>
      </c>
      <c r="BW22" s="879">
        <f>'Current Account'!W184</f>
        <v>320</v>
      </c>
      <c r="BX22" s="796">
        <v>320</v>
      </c>
      <c r="BY22" s="796">
        <v>0</v>
      </c>
      <c r="BZ22" s="796">
        <f t="shared" si="11"/>
        <v>320</v>
      </c>
      <c r="CA22" s="987">
        <v>320</v>
      </c>
      <c r="CB22" s="808">
        <v>320</v>
      </c>
      <c r="CF22" s="238"/>
      <c r="CG22" s="241"/>
      <c r="CH22" s="241"/>
      <c r="CI22" s="241"/>
      <c r="CJ22" s="247"/>
      <c r="CL22" s="842" t="s">
        <v>1191</v>
      </c>
      <c r="CM22" s="814"/>
      <c r="CN22" s="814"/>
      <c r="CO22" s="814"/>
      <c r="CP22" s="814"/>
      <c r="CQ22" s="814"/>
      <c r="CR22" s="833">
        <v>5000</v>
      </c>
      <c r="CS22" s="847"/>
    </row>
    <row r="23" spans="1:97" ht="30" customHeight="1" x14ac:dyDescent="0.35">
      <c r="A23" s="415" t="s">
        <v>11</v>
      </c>
      <c r="B23" s="61">
        <v>2800</v>
      </c>
      <c r="C23" s="265">
        <v>2681.5</v>
      </c>
      <c r="D23" s="276">
        <v>800</v>
      </c>
      <c r="E23" s="277">
        <v>2506.1</v>
      </c>
      <c r="F23" s="277">
        <v>3777.47</v>
      </c>
      <c r="G23" s="276">
        <v>1500</v>
      </c>
      <c r="H23" s="277">
        <v>332.7</v>
      </c>
      <c r="I23" s="61">
        <v>1000</v>
      </c>
      <c r="J23" s="278">
        <v>382.99</v>
      </c>
      <c r="K23" s="279">
        <v>500</v>
      </c>
      <c r="L23" s="62">
        <f>361+1310.21+271+70</f>
        <v>2012.21</v>
      </c>
      <c r="M23" s="63">
        <v>1500</v>
      </c>
      <c r="N23" s="62">
        <v>5377.02</v>
      </c>
      <c r="O23" s="29">
        <v>0</v>
      </c>
      <c r="P23" s="95">
        <f t="shared" si="2"/>
        <v>5377.02</v>
      </c>
      <c r="Q23" s="19"/>
      <c r="R23" s="53">
        <f t="shared" si="3"/>
        <v>5377.02</v>
      </c>
      <c r="S23" s="205">
        <f>R23/M23</f>
        <v>3.5846800000000001</v>
      </c>
      <c r="T23" s="55">
        <v>12000</v>
      </c>
      <c r="U23" s="34">
        <v>10418</v>
      </c>
      <c r="V23" s="33">
        <f t="shared" si="4"/>
        <v>0.86816666666666664</v>
      </c>
      <c r="W23" s="34">
        <v>10418</v>
      </c>
      <c r="X23" s="33">
        <f t="shared" si="5"/>
        <v>0.86816666666666664</v>
      </c>
      <c r="Y23" s="56">
        <v>10418</v>
      </c>
      <c r="Z23" s="33">
        <f>Y23/T23</f>
        <v>0.86816666666666664</v>
      </c>
      <c r="AA23" s="55"/>
      <c r="AB23" s="66">
        <v>0</v>
      </c>
      <c r="AC23" s="206"/>
      <c r="AD23" s="202"/>
      <c r="AE23" s="280" t="s">
        <v>73</v>
      </c>
      <c r="AF23" s="62"/>
      <c r="AG23" s="206"/>
      <c r="AH23" s="69"/>
      <c r="AI23" s="267"/>
      <c r="AJ23" s="178"/>
      <c r="AK23" s="268">
        <v>0</v>
      </c>
      <c r="AL23" s="179"/>
      <c r="AM23" s="56">
        <v>0</v>
      </c>
      <c r="AN23" s="56">
        <f t="shared" si="13"/>
        <v>0</v>
      </c>
      <c r="AO23" s="179"/>
      <c r="AP23" s="183"/>
      <c r="AQ23" s="281"/>
      <c r="AR23" s="56"/>
      <c r="AS23" s="348"/>
      <c r="AT23" s="351">
        <v>0</v>
      </c>
      <c r="AU23" s="351">
        <v>0</v>
      </c>
      <c r="AV23" s="347"/>
      <c r="AW23" s="352"/>
      <c r="AX23" s="353"/>
      <c r="AY23" s="354">
        <v>0</v>
      </c>
      <c r="AZ23" s="352">
        <v>0</v>
      </c>
      <c r="BA23" s="353"/>
      <c r="BB23" s="356"/>
      <c r="BC23" s="354"/>
      <c r="BD23" s="356"/>
      <c r="BE23" s="349"/>
      <c r="BF23" s="350"/>
      <c r="BG23" s="375"/>
      <c r="BH23" s="434"/>
      <c r="BI23" s="376"/>
      <c r="BJ23" s="376">
        <f t="shared" si="0"/>
        <v>0</v>
      </c>
      <c r="BL23" s="349"/>
      <c r="BM23" s="733"/>
      <c r="BN23" s="438">
        <v>0</v>
      </c>
      <c r="BO23" s="808">
        <v>0</v>
      </c>
      <c r="BP23" s="783"/>
      <c r="BQ23" s="801">
        <v>0</v>
      </c>
      <c r="BR23" s="785">
        <v>0</v>
      </c>
      <c r="BS23" s="792">
        <f t="shared" si="1"/>
        <v>0</v>
      </c>
      <c r="BT23" s="792">
        <v>0</v>
      </c>
      <c r="BU23" s="798"/>
      <c r="BV23" s="794"/>
      <c r="BW23" s="872"/>
      <c r="BX23" s="796"/>
      <c r="BY23" s="796"/>
      <c r="BZ23" s="796">
        <f t="shared" si="11"/>
        <v>0</v>
      </c>
      <c r="CA23" s="796"/>
      <c r="CB23" s="808">
        <v>0</v>
      </c>
      <c r="CF23" s="229"/>
      <c r="CG23" s="230"/>
      <c r="CH23" s="230"/>
      <c r="CI23" s="230"/>
      <c r="CJ23" s="248"/>
      <c r="CL23" s="842" t="s">
        <v>253</v>
      </c>
      <c r="CM23" s="814"/>
      <c r="CN23" s="814"/>
      <c r="CO23" s="814"/>
      <c r="CP23" s="814"/>
      <c r="CQ23" s="814"/>
      <c r="CR23" s="833">
        <v>13678.2</v>
      </c>
      <c r="CS23" s="847" t="s">
        <v>254</v>
      </c>
    </row>
    <row r="24" spans="1:97" ht="72" x14ac:dyDescent="0.35">
      <c r="A24" s="484" t="s">
        <v>153</v>
      </c>
      <c r="B24" s="485"/>
      <c r="C24" s="486"/>
      <c r="D24" s="487"/>
      <c r="E24" s="488"/>
      <c r="F24" s="488"/>
      <c r="G24" s="487">
        <v>1500</v>
      </c>
      <c r="H24" s="488"/>
      <c r="I24" s="485">
        <v>2000</v>
      </c>
      <c r="J24" s="489">
        <v>2000</v>
      </c>
      <c r="K24" s="490">
        <v>4000</v>
      </c>
      <c r="L24" s="491">
        <v>2000</v>
      </c>
      <c r="M24" s="492">
        <v>3000</v>
      </c>
      <c r="N24" s="491">
        <v>768.84</v>
      </c>
      <c r="O24" s="493">
        <v>2500</v>
      </c>
      <c r="P24" s="494">
        <f t="shared" si="2"/>
        <v>3268.84</v>
      </c>
      <c r="Q24" s="495"/>
      <c r="R24" s="496">
        <f t="shared" si="3"/>
        <v>3268.84</v>
      </c>
      <c r="S24" s="497">
        <f>R24/M24</f>
        <v>1.0896133333333333</v>
      </c>
      <c r="T24" s="498">
        <v>5500</v>
      </c>
      <c r="U24" s="499">
        <f>2627.2+787.5</f>
        <v>3414.7</v>
      </c>
      <c r="V24" s="500">
        <f t="shared" si="4"/>
        <v>0.62085454545454544</v>
      </c>
      <c r="W24" s="499">
        <f>2040.7+2500</f>
        <v>4540.7</v>
      </c>
      <c r="X24" s="500">
        <f t="shared" si="5"/>
        <v>0.82558181818181819</v>
      </c>
      <c r="Y24" s="501">
        <v>5690.7</v>
      </c>
      <c r="Z24" s="500">
        <f>Y24/T24</f>
        <v>1.0346727272727272</v>
      </c>
      <c r="AA24" s="498">
        <v>6000</v>
      </c>
      <c r="AB24" s="502">
        <v>1681</v>
      </c>
      <c r="AC24" s="503">
        <f>AB24/AA24</f>
        <v>0.28016666666666667</v>
      </c>
      <c r="AD24" s="504" t="s">
        <v>74</v>
      </c>
      <c r="AE24" s="505" t="s">
        <v>75</v>
      </c>
      <c r="AF24" s="491">
        <v>4056</v>
      </c>
      <c r="AG24" s="503">
        <f>AF24/AA24</f>
        <v>0.67600000000000005</v>
      </c>
      <c r="AH24" s="506">
        <v>6500</v>
      </c>
      <c r="AI24" s="507">
        <v>2924</v>
      </c>
      <c r="AJ24" s="508">
        <f t="shared" si="6"/>
        <v>0.44984615384615384</v>
      </c>
      <c r="AK24" s="509">
        <v>3777.5</v>
      </c>
      <c r="AL24" s="510">
        <f t="shared" si="7"/>
        <v>0.58115384615384613</v>
      </c>
      <c r="AM24" s="501">
        <f>262.5*5</f>
        <v>1312.5</v>
      </c>
      <c r="AN24" s="501">
        <f t="shared" si="13"/>
        <v>5090</v>
      </c>
      <c r="AO24" s="510">
        <f t="shared" si="8"/>
        <v>0.78307692307692311</v>
      </c>
      <c r="AP24" s="511"/>
      <c r="AQ24" s="512"/>
      <c r="AR24" s="501">
        <v>5090</v>
      </c>
      <c r="AS24" s="513">
        <v>5500</v>
      </c>
      <c r="AT24" s="514">
        <f>'[1]Current Account'!AJ156</f>
        <v>4947.41</v>
      </c>
      <c r="AU24" s="514">
        <v>2955.2</v>
      </c>
      <c r="AV24" s="515">
        <f t="shared" si="9"/>
        <v>0.53730909090909085</v>
      </c>
      <c r="AW24" s="516">
        <v>5445.02</v>
      </c>
      <c r="AX24" s="517">
        <f t="shared" si="10"/>
        <v>0.99000363636363642</v>
      </c>
      <c r="AY24" s="518">
        <v>4500</v>
      </c>
      <c r="AZ24" s="516">
        <f>'[1]Current Account'!AJ156</f>
        <v>4947.41</v>
      </c>
      <c r="BA24" s="517">
        <f t="shared" si="14"/>
        <v>1.0994244444444443</v>
      </c>
      <c r="BB24" s="519"/>
      <c r="BC24" s="518">
        <v>4500</v>
      </c>
      <c r="BD24" s="520" t="s">
        <v>225</v>
      </c>
      <c r="BE24" s="349">
        <v>6361.16</v>
      </c>
      <c r="BF24" s="515">
        <f>BL24/BC24</f>
        <v>1.8763600000000002</v>
      </c>
      <c r="BG24" s="522">
        <v>10000</v>
      </c>
      <c r="BH24" s="523">
        <v>6806.7</v>
      </c>
      <c r="BI24" s="524">
        <f>BH24/8*4</f>
        <v>3403.35</v>
      </c>
      <c r="BJ24" s="376">
        <f t="shared" si="0"/>
        <v>10210.049999999999</v>
      </c>
      <c r="BL24" s="521">
        <v>8443.6200000000008</v>
      </c>
      <c r="BM24" s="733">
        <f t="shared" si="12"/>
        <v>0.84436200000000006</v>
      </c>
      <c r="BN24" s="525">
        <f>15000-2640</f>
        <v>12360</v>
      </c>
      <c r="BO24" s="808">
        <f>BN24+BN7</f>
        <v>15000</v>
      </c>
      <c r="BP24" s="790" t="s">
        <v>291</v>
      </c>
      <c r="BQ24" s="791">
        <v>7046.96</v>
      </c>
      <c r="BR24" s="803" t="e">
        <f>#REF!/7*5</f>
        <v>#REF!</v>
      </c>
      <c r="BS24" s="792" t="e">
        <f t="shared" si="1"/>
        <v>#REF!</v>
      </c>
      <c r="BT24" s="792">
        <v>10302.64</v>
      </c>
      <c r="BU24" s="798">
        <f t="shared" si="17"/>
        <v>0.6868426666666666</v>
      </c>
      <c r="BV24" s="794">
        <v>15000</v>
      </c>
      <c r="BW24" s="879">
        <f>SUM('Current Account'!AN184:AY184)</f>
        <v>13662.65</v>
      </c>
      <c r="BX24" s="796">
        <v>10746.26</v>
      </c>
      <c r="BY24" s="797">
        <f>BV24-BX24+21319</f>
        <v>25572.739999999998</v>
      </c>
      <c r="BZ24" s="796">
        <f t="shared" si="11"/>
        <v>36319</v>
      </c>
      <c r="CA24" s="987">
        <v>13662.65</v>
      </c>
      <c r="CB24" s="808">
        <v>17500</v>
      </c>
      <c r="CC24" s="431" t="s">
        <v>1182</v>
      </c>
      <c r="CD24" s="751" t="s">
        <v>1180</v>
      </c>
      <c r="CF24" s="229" t="s">
        <v>178</v>
      </c>
      <c r="CG24" s="230"/>
      <c r="CH24" s="230"/>
      <c r="CI24" s="230"/>
      <c r="CJ24" s="243">
        <f>'[1]Bank Rec'!G25-12455.93</f>
        <v>585191.71999999986</v>
      </c>
      <c r="CL24" s="845" t="s">
        <v>879</v>
      </c>
      <c r="CM24" s="817"/>
      <c r="CN24" s="817"/>
      <c r="CO24" s="817"/>
      <c r="CP24" s="817"/>
      <c r="CQ24" s="817"/>
      <c r="CR24" s="833">
        <v>35788.14</v>
      </c>
      <c r="CS24" s="849" t="s">
        <v>880</v>
      </c>
    </row>
    <row r="25" spans="1:97" ht="30" customHeight="1" x14ac:dyDescent="0.35">
      <c r="A25" s="415" t="s">
        <v>76</v>
      </c>
      <c r="B25" s="61"/>
      <c r="C25" s="265"/>
      <c r="D25" s="276"/>
      <c r="E25" s="277"/>
      <c r="F25" s="277"/>
      <c r="G25" s="276">
        <v>1850</v>
      </c>
      <c r="H25" s="277"/>
      <c r="I25" s="61">
        <v>2550</v>
      </c>
      <c r="J25" s="278">
        <v>0</v>
      </c>
      <c r="K25" s="279" t="s">
        <v>55</v>
      </c>
      <c r="L25" s="62">
        <v>0</v>
      </c>
      <c r="M25" s="63">
        <v>5000</v>
      </c>
      <c r="N25" s="62">
        <v>1172.9000000000001</v>
      </c>
      <c r="O25" s="29">
        <v>0</v>
      </c>
      <c r="P25" s="95">
        <f t="shared" si="2"/>
        <v>1172.9000000000001</v>
      </c>
      <c r="Q25" s="19"/>
      <c r="R25" s="53">
        <f t="shared" si="3"/>
        <v>1172.9000000000001</v>
      </c>
      <c r="S25" s="205">
        <f>R25/M25</f>
        <v>0.23458000000000001</v>
      </c>
      <c r="T25" s="55">
        <v>15000</v>
      </c>
      <c r="U25" s="34">
        <v>1003.5</v>
      </c>
      <c r="V25" s="33">
        <f t="shared" si="4"/>
        <v>6.6900000000000001E-2</v>
      </c>
      <c r="W25" s="34">
        <v>3971.7</v>
      </c>
      <c r="X25" s="33">
        <f t="shared" si="5"/>
        <v>0.26478000000000002</v>
      </c>
      <c r="Y25" s="56">
        <v>7538.2</v>
      </c>
      <c r="Z25" s="33">
        <f>Y25/T25</f>
        <v>0.5025466666666667</v>
      </c>
      <c r="AA25" s="55">
        <v>15000</v>
      </c>
      <c r="AB25" s="66">
        <v>0</v>
      </c>
      <c r="AC25" s="206">
        <f>AB25/AA25</f>
        <v>0</v>
      </c>
      <c r="AD25" s="202"/>
      <c r="AE25" s="280"/>
      <c r="AF25" s="62">
        <v>1975</v>
      </c>
      <c r="AG25" s="206">
        <f>AF25/AA25</f>
        <v>0.13166666666666665</v>
      </c>
      <c r="AH25" s="69">
        <v>15000</v>
      </c>
      <c r="AI25" s="267"/>
      <c r="AJ25" s="178">
        <f t="shared" si="6"/>
        <v>0</v>
      </c>
      <c r="AK25" s="268"/>
      <c r="AL25" s="179">
        <f t="shared" si="7"/>
        <v>0</v>
      </c>
      <c r="AM25" s="56">
        <v>0</v>
      </c>
      <c r="AN25" s="56">
        <f t="shared" si="13"/>
        <v>0</v>
      </c>
      <c r="AO25" s="179">
        <f t="shared" si="8"/>
        <v>0</v>
      </c>
      <c r="AP25" s="183"/>
      <c r="AQ25" s="281"/>
      <c r="AR25" s="56">
        <v>0</v>
      </c>
      <c r="AS25" s="348">
        <v>0</v>
      </c>
      <c r="AT25" s="351">
        <f>'[1]Current Account'!AH156</f>
        <v>206655.41000000003</v>
      </c>
      <c r="AU25" s="351">
        <v>0</v>
      </c>
      <c r="AV25" s="347"/>
      <c r="AW25" s="352">
        <v>0</v>
      </c>
      <c r="AX25" s="353"/>
      <c r="AY25" s="354">
        <v>0</v>
      </c>
      <c r="AZ25" s="352">
        <v>0</v>
      </c>
      <c r="BA25" s="353"/>
      <c r="BB25" s="365" t="s">
        <v>120</v>
      </c>
      <c r="BC25" s="359"/>
      <c r="BD25" s="360" t="s">
        <v>120</v>
      </c>
      <c r="BE25" s="349"/>
      <c r="BF25" s="350"/>
      <c r="BG25" s="375">
        <v>0</v>
      </c>
      <c r="BH25" s="434"/>
      <c r="BI25" s="376"/>
      <c r="BJ25" s="376">
        <f t="shared" si="0"/>
        <v>0</v>
      </c>
      <c r="BL25" s="349"/>
      <c r="BM25" s="733" t="e">
        <f t="shared" si="12"/>
        <v>#DIV/0!</v>
      </c>
      <c r="BN25" s="438">
        <v>0</v>
      </c>
      <c r="BO25" s="808">
        <v>0</v>
      </c>
      <c r="BP25" s="783"/>
      <c r="BQ25" s="801">
        <v>0</v>
      </c>
      <c r="BR25" s="785">
        <v>0</v>
      </c>
      <c r="BS25" s="792">
        <f t="shared" si="1"/>
        <v>0</v>
      </c>
      <c r="BT25" s="792">
        <v>0</v>
      </c>
      <c r="BU25" s="798"/>
      <c r="BV25" s="794"/>
      <c r="BW25" s="872"/>
      <c r="BX25" s="796"/>
      <c r="BY25" s="796"/>
      <c r="BZ25" s="796">
        <f t="shared" si="11"/>
        <v>0</v>
      </c>
      <c r="CA25" s="796"/>
      <c r="CB25" s="808"/>
      <c r="CF25" s="238" t="s">
        <v>179</v>
      </c>
      <c r="CG25" s="241"/>
      <c r="CH25" s="241"/>
      <c r="CI25" s="241"/>
      <c r="CJ25" s="243">
        <v>3574.19</v>
      </c>
      <c r="CK25" s="152"/>
      <c r="CL25" s="845" t="s">
        <v>1192</v>
      </c>
      <c r="CM25" s="817"/>
      <c r="CN25" s="817"/>
      <c r="CO25" s="817"/>
      <c r="CP25" s="817"/>
      <c r="CQ25" s="817"/>
      <c r="CR25" s="833">
        <v>6074.94</v>
      </c>
      <c r="CS25" s="849"/>
    </row>
    <row r="26" spans="1:97" ht="30" customHeight="1" x14ac:dyDescent="0.35">
      <c r="A26" s="415" t="s">
        <v>77</v>
      </c>
      <c r="B26" s="61"/>
      <c r="C26" s="265"/>
      <c r="D26" s="276"/>
      <c r="E26" s="277"/>
      <c r="F26" s="277"/>
      <c r="G26" s="276"/>
      <c r="H26" s="277">
        <f>SUM(H4:H24)</f>
        <v>21210.55</v>
      </c>
      <c r="I26" s="61"/>
      <c r="J26" s="278"/>
      <c r="K26" s="279"/>
      <c r="L26" s="62"/>
      <c r="M26" s="63">
        <v>2410</v>
      </c>
      <c r="N26" s="62">
        <v>0</v>
      </c>
      <c r="O26" s="29">
        <v>0</v>
      </c>
      <c r="P26" s="95">
        <f t="shared" si="2"/>
        <v>0</v>
      </c>
      <c r="Q26" s="19"/>
      <c r="R26" s="53">
        <f t="shared" si="3"/>
        <v>0</v>
      </c>
      <c r="S26" s="205">
        <f>R26/M26</f>
        <v>0</v>
      </c>
      <c r="T26" s="55">
        <v>0</v>
      </c>
      <c r="U26" s="34">
        <f>500+2411+221.38</f>
        <v>3132.38</v>
      </c>
      <c r="V26" s="33" t="s">
        <v>78</v>
      </c>
      <c r="W26" s="34">
        <v>3132.38</v>
      </c>
      <c r="X26" s="33"/>
      <c r="Y26" s="56">
        <v>3133.38</v>
      </c>
      <c r="Z26" s="33"/>
      <c r="AA26" s="55">
        <v>3000</v>
      </c>
      <c r="AB26" s="66">
        <v>0</v>
      </c>
      <c r="AC26" s="206">
        <f>AB26/AA26</f>
        <v>0</v>
      </c>
      <c r="AD26" s="202" t="s">
        <v>79</v>
      </c>
      <c r="AE26" s="280"/>
      <c r="AF26" s="62">
        <v>500</v>
      </c>
      <c r="AG26" s="206">
        <f>AF26/AA26</f>
        <v>0.16666666666666666</v>
      </c>
      <c r="AH26" s="69">
        <v>3000</v>
      </c>
      <c r="AI26" s="267"/>
      <c r="AJ26" s="178">
        <f t="shared" si="6"/>
        <v>0</v>
      </c>
      <c r="AK26" s="268"/>
      <c r="AL26" s="179">
        <f t="shared" si="7"/>
        <v>0</v>
      </c>
      <c r="AM26" s="56">
        <v>0</v>
      </c>
      <c r="AN26" s="56">
        <f t="shared" si="13"/>
        <v>0</v>
      </c>
      <c r="AO26" s="179">
        <f t="shared" si="8"/>
        <v>0</v>
      </c>
      <c r="AP26" s="183"/>
      <c r="AQ26" s="281"/>
      <c r="AR26" s="56">
        <v>0</v>
      </c>
      <c r="AS26" s="348">
        <v>3000</v>
      </c>
      <c r="AT26" s="351">
        <f>'[1]Current Account'!AF156</f>
        <v>1590.04</v>
      </c>
      <c r="AU26" s="351">
        <v>736.91</v>
      </c>
      <c r="AV26" s="347">
        <f t="shared" si="9"/>
        <v>0.24563666666666667</v>
      </c>
      <c r="AW26" s="352">
        <v>179.91</v>
      </c>
      <c r="AX26" s="353">
        <f t="shared" si="10"/>
        <v>5.9969999999999996E-2</v>
      </c>
      <c r="AY26" s="354">
        <v>2000</v>
      </c>
      <c r="AZ26" s="352">
        <f>'[1]Current Account'!AF156</f>
        <v>1590.04</v>
      </c>
      <c r="BA26" s="353">
        <f t="shared" si="14"/>
        <v>0.79501999999999995</v>
      </c>
      <c r="BB26" s="356"/>
      <c r="BC26" s="354">
        <v>2000</v>
      </c>
      <c r="BD26" s="356"/>
      <c r="BE26" s="349">
        <v>1576.5</v>
      </c>
      <c r="BF26" s="350">
        <f>BL26/BC26</f>
        <v>2.1495E-2</v>
      </c>
      <c r="BG26" s="375">
        <v>2000</v>
      </c>
      <c r="BH26" s="434">
        <v>42.99</v>
      </c>
      <c r="BI26" s="376">
        <v>100</v>
      </c>
      <c r="BJ26" s="376">
        <f t="shared" si="0"/>
        <v>142.99</v>
      </c>
      <c r="BL26" s="349">
        <f>'[2]Current Account'!AI172</f>
        <v>42.99</v>
      </c>
      <c r="BM26" s="733">
        <f t="shared" si="12"/>
        <v>2.1495E-2</v>
      </c>
      <c r="BN26" s="438">
        <v>2000</v>
      </c>
      <c r="BO26" s="808">
        <v>2000</v>
      </c>
      <c r="BP26" s="783"/>
      <c r="BQ26" s="801">
        <v>0</v>
      </c>
      <c r="BR26" s="792">
        <f>BO26/12*5</f>
        <v>833.33333333333326</v>
      </c>
      <c r="BS26" s="792">
        <f t="shared" si="1"/>
        <v>833.33333333333326</v>
      </c>
      <c r="BT26" s="792">
        <v>0</v>
      </c>
      <c r="BU26" s="798">
        <f t="shared" si="17"/>
        <v>0</v>
      </c>
      <c r="BV26" s="794">
        <v>2000</v>
      </c>
      <c r="BW26" s="872">
        <v>0</v>
      </c>
      <c r="BX26" s="796">
        <v>0</v>
      </c>
      <c r="BY26" s="796">
        <f>BV26/12*4</f>
        <v>666.66666666666663</v>
      </c>
      <c r="BZ26" s="796">
        <f t="shared" si="11"/>
        <v>666.66666666666663</v>
      </c>
      <c r="CA26" s="796"/>
      <c r="CB26" s="808">
        <v>500</v>
      </c>
      <c r="CC26" s="593" t="s">
        <v>1162</v>
      </c>
      <c r="CF26" s="229" t="s">
        <v>180</v>
      </c>
      <c r="CG26" s="230"/>
      <c r="CH26" s="230"/>
      <c r="CI26" s="230"/>
      <c r="CJ26" s="231">
        <f>63770*3%+63770</f>
        <v>65683.100000000006</v>
      </c>
      <c r="CL26" s="845" t="s">
        <v>686</v>
      </c>
      <c r="CM26" s="817"/>
      <c r="CN26" s="817"/>
      <c r="CO26" s="817"/>
      <c r="CP26" s="817"/>
      <c r="CQ26" s="817"/>
      <c r="CR26" s="833">
        <f>3450+426</f>
        <v>3876</v>
      </c>
      <c r="CS26" s="849" t="s">
        <v>1184</v>
      </c>
    </row>
    <row r="27" spans="1:97" ht="30" customHeight="1" x14ac:dyDescent="0.35">
      <c r="A27" s="415" t="s">
        <v>227</v>
      </c>
      <c r="B27" s="61"/>
      <c r="C27" s="265"/>
      <c r="D27" s="276"/>
      <c r="E27" s="277"/>
      <c r="F27" s="277"/>
      <c r="G27" s="276"/>
      <c r="H27" s="277"/>
      <c r="I27" s="61"/>
      <c r="J27" s="278"/>
      <c r="K27" s="279"/>
      <c r="L27" s="62"/>
      <c r="M27" s="63"/>
      <c r="N27" s="62"/>
      <c r="O27" s="29"/>
      <c r="P27" s="95"/>
      <c r="Q27" s="19"/>
      <c r="R27" s="53"/>
      <c r="S27" s="205"/>
      <c r="T27" s="55"/>
      <c r="U27" s="34"/>
      <c r="V27" s="33"/>
      <c r="W27" s="34"/>
      <c r="X27" s="33"/>
      <c r="Y27" s="56"/>
      <c r="Z27" s="33"/>
      <c r="AA27" s="55"/>
      <c r="AB27" s="66"/>
      <c r="AC27" s="206"/>
      <c r="AD27" s="202"/>
      <c r="AE27" s="280"/>
      <c r="AF27" s="62"/>
      <c r="AG27" s="206"/>
      <c r="AH27" s="69"/>
      <c r="AI27" s="267"/>
      <c r="AJ27" s="178"/>
      <c r="AK27" s="268"/>
      <c r="AL27" s="179"/>
      <c r="AM27" s="56"/>
      <c r="AN27" s="56"/>
      <c r="AO27" s="179"/>
      <c r="AP27" s="183"/>
      <c r="AQ27" s="281"/>
      <c r="AR27" s="56"/>
      <c r="AS27" s="348">
        <v>3000</v>
      </c>
      <c r="AT27" s="351">
        <f>'[1]Current Account'!AG156</f>
        <v>29.15</v>
      </c>
      <c r="AU27" s="351">
        <v>47</v>
      </c>
      <c r="AV27" s="347">
        <f t="shared" si="9"/>
        <v>1.5666666666666666E-2</v>
      </c>
      <c r="AW27" s="352">
        <v>95.54</v>
      </c>
      <c r="AX27" s="353">
        <f t="shared" si="10"/>
        <v>3.1846666666666669E-2</v>
      </c>
      <c r="AY27" s="354">
        <v>3000</v>
      </c>
      <c r="AZ27" s="352">
        <f>'[1]Current Account'!AG156</f>
        <v>29.15</v>
      </c>
      <c r="BA27" s="353">
        <f t="shared" si="14"/>
        <v>9.7166666666666669E-3</v>
      </c>
      <c r="BB27" s="356"/>
      <c r="BC27" s="354">
        <v>3000</v>
      </c>
      <c r="BD27" s="356" t="s">
        <v>214</v>
      </c>
      <c r="BE27" s="349">
        <v>1461.52</v>
      </c>
      <c r="BF27" s="350">
        <f>BL27/BC27</f>
        <v>0</v>
      </c>
      <c r="BG27" s="375">
        <v>1500</v>
      </c>
      <c r="BH27" s="434">
        <v>0</v>
      </c>
      <c r="BI27" s="376">
        <v>500</v>
      </c>
      <c r="BJ27" s="376">
        <f t="shared" si="0"/>
        <v>500</v>
      </c>
      <c r="BL27" s="349">
        <f>'[2]Current Account'!AJ172</f>
        <v>0</v>
      </c>
      <c r="BM27" s="733">
        <f t="shared" si="12"/>
        <v>0</v>
      </c>
      <c r="BN27" s="438">
        <v>3000</v>
      </c>
      <c r="BO27" s="808">
        <v>3000</v>
      </c>
      <c r="BP27" s="783" t="s">
        <v>279</v>
      </c>
      <c r="BQ27" s="801">
        <v>0</v>
      </c>
      <c r="BR27" s="792">
        <f>BO27/12*5</f>
        <v>1250</v>
      </c>
      <c r="BS27" s="792">
        <f t="shared" si="1"/>
        <v>1250</v>
      </c>
      <c r="BT27" s="792">
        <v>632.21</v>
      </c>
      <c r="BU27" s="798">
        <f t="shared" si="17"/>
        <v>0.21073666666666668</v>
      </c>
      <c r="BV27" s="794">
        <v>3000</v>
      </c>
      <c r="BW27" s="879">
        <f>'Current Account'!AJ184</f>
        <v>133.17000000000002</v>
      </c>
      <c r="BX27" s="796">
        <v>554.78</v>
      </c>
      <c r="BY27" s="796">
        <f>BX27/8*4</f>
        <v>277.39</v>
      </c>
      <c r="BZ27" s="796">
        <f t="shared" si="11"/>
        <v>832.17</v>
      </c>
      <c r="CA27" s="987">
        <v>133.16999999999999</v>
      </c>
      <c r="CB27" s="808">
        <v>1000</v>
      </c>
      <c r="CC27" s="593" t="s">
        <v>1163</v>
      </c>
      <c r="CF27" s="229"/>
      <c r="CG27" s="230"/>
      <c r="CH27" s="230"/>
      <c r="CI27" s="230"/>
      <c r="CJ27" s="249"/>
      <c r="CL27" s="842" t="s">
        <v>1194</v>
      </c>
      <c r="CM27" s="814"/>
      <c r="CN27" s="814"/>
      <c r="CO27" s="814"/>
      <c r="CP27" s="814"/>
      <c r="CQ27" s="814"/>
      <c r="CR27" s="815">
        <v>80000</v>
      </c>
      <c r="CS27" s="847" t="s">
        <v>1229</v>
      </c>
    </row>
    <row r="28" spans="1:97" ht="30" customHeight="1" thickBot="1" x14ac:dyDescent="0.4">
      <c r="A28" s="415" t="s">
        <v>80</v>
      </c>
      <c r="B28" s="61"/>
      <c r="C28" s="265"/>
      <c r="D28" s="276"/>
      <c r="E28" s="277"/>
      <c r="F28" s="277"/>
      <c r="G28" s="276"/>
      <c r="H28" s="277">
        <v>3314.05</v>
      </c>
      <c r="I28" s="61"/>
      <c r="J28" s="278"/>
      <c r="K28" s="279"/>
      <c r="L28" s="62">
        <v>0</v>
      </c>
      <c r="M28" s="63"/>
      <c r="N28" s="62">
        <v>0</v>
      </c>
      <c r="O28" s="70">
        <v>0</v>
      </c>
      <c r="P28" s="95">
        <f t="shared" si="2"/>
        <v>0</v>
      </c>
      <c r="Q28" s="19"/>
      <c r="R28" s="53">
        <f t="shared" si="3"/>
        <v>0</v>
      </c>
      <c r="S28" s="205"/>
      <c r="T28" s="55">
        <v>0</v>
      </c>
      <c r="U28" s="34"/>
      <c r="V28" s="33"/>
      <c r="W28" s="34"/>
      <c r="X28" s="33"/>
      <c r="Y28" s="56"/>
      <c r="Z28" s="33"/>
      <c r="AA28" s="55"/>
      <c r="AB28" s="66"/>
      <c r="AC28" s="206"/>
      <c r="AD28" s="202"/>
      <c r="AE28" s="280"/>
      <c r="AF28" s="62"/>
      <c r="AG28" s="206"/>
      <c r="AH28" s="69"/>
      <c r="AI28" s="267"/>
      <c r="AJ28" s="178"/>
      <c r="AK28" s="268">
        <v>0</v>
      </c>
      <c r="AL28" s="179"/>
      <c r="AM28" s="56"/>
      <c r="AN28" s="56">
        <f t="shared" si="13"/>
        <v>0</v>
      </c>
      <c r="AO28" s="179"/>
      <c r="AP28" s="183"/>
      <c r="AQ28" s="281"/>
      <c r="AR28" s="56"/>
      <c r="AS28" s="348"/>
      <c r="AT28" s="351"/>
      <c r="AU28" s="351">
        <v>0</v>
      </c>
      <c r="AV28" s="347"/>
      <c r="AW28" s="352"/>
      <c r="AX28" s="353"/>
      <c r="AY28" s="354"/>
      <c r="AZ28" s="352">
        <v>0</v>
      </c>
      <c r="BA28" s="353"/>
      <c r="BB28" s="356"/>
      <c r="BC28" s="354"/>
      <c r="BD28" s="356"/>
      <c r="BE28" s="349"/>
      <c r="BF28" s="350"/>
      <c r="BG28" s="375"/>
      <c r="BH28" s="434"/>
      <c r="BI28" s="376"/>
      <c r="BJ28" s="376">
        <f t="shared" si="0"/>
        <v>0</v>
      </c>
      <c r="BL28" s="349"/>
      <c r="BM28" s="733"/>
      <c r="BN28" s="438"/>
      <c r="BO28" s="808"/>
      <c r="BP28" s="783"/>
      <c r="BQ28" s="801">
        <v>0</v>
      </c>
      <c r="BR28" s="785">
        <v>0</v>
      </c>
      <c r="BS28" s="792">
        <f t="shared" si="1"/>
        <v>0</v>
      </c>
      <c r="BT28" s="792">
        <v>0</v>
      </c>
      <c r="BU28" s="798"/>
      <c r="BV28" s="794">
        <v>0</v>
      </c>
      <c r="BW28" s="872"/>
      <c r="BX28" s="796"/>
      <c r="BY28" s="796"/>
      <c r="BZ28" s="796">
        <f t="shared" si="11"/>
        <v>0</v>
      </c>
      <c r="CA28" s="796"/>
      <c r="CB28" s="808"/>
      <c r="CF28" s="250"/>
      <c r="CG28" s="251"/>
      <c r="CH28" s="251"/>
      <c r="CI28" s="251"/>
      <c r="CJ28" s="252">
        <f>SUM(CJ24:CJ26)</f>
        <v>654449.00999999978</v>
      </c>
      <c r="CL28" s="316"/>
      <c r="CM28" s="814"/>
      <c r="CN28" s="814"/>
      <c r="CO28" s="814"/>
      <c r="CP28" s="814"/>
      <c r="CQ28" s="825"/>
      <c r="CR28" s="834"/>
      <c r="CS28" s="847"/>
    </row>
    <row r="29" spans="1:97" ht="30" customHeight="1" thickTop="1" thickBot="1" x14ac:dyDescent="0.4">
      <c r="A29" s="415" t="s">
        <v>190</v>
      </c>
      <c r="B29" s="61"/>
      <c r="C29" s="265"/>
      <c r="D29" s="276"/>
      <c r="E29" s="277"/>
      <c r="F29" s="277"/>
      <c r="G29" s="276"/>
      <c r="H29" s="277"/>
      <c r="I29" s="61"/>
      <c r="J29" s="278"/>
      <c r="K29" s="279"/>
      <c r="L29" s="62"/>
      <c r="M29" s="200"/>
      <c r="N29" s="62"/>
      <c r="O29" s="70"/>
      <c r="P29" s="95"/>
      <c r="Q29" s="19"/>
      <c r="R29" s="53"/>
      <c r="S29" s="205"/>
      <c r="T29" s="55"/>
      <c r="U29" s="34"/>
      <c r="V29" s="33"/>
      <c r="W29" s="34"/>
      <c r="X29" s="33"/>
      <c r="Y29" s="56"/>
      <c r="Z29" s="33"/>
      <c r="AA29" s="55"/>
      <c r="AB29" s="66"/>
      <c r="AC29" s="206"/>
      <c r="AD29" s="202"/>
      <c r="AE29" s="280"/>
      <c r="AF29" s="62"/>
      <c r="AG29" s="206"/>
      <c r="AH29" s="69"/>
      <c r="AI29" s="267"/>
      <c r="AJ29" s="178"/>
      <c r="AK29" s="268"/>
      <c r="AL29" s="179"/>
      <c r="AM29" s="56"/>
      <c r="AN29" s="56"/>
      <c r="AO29" s="179"/>
      <c r="AP29" s="183"/>
      <c r="AQ29" s="281"/>
      <c r="AR29" s="56"/>
      <c r="AS29" s="348"/>
      <c r="AT29" s="351"/>
      <c r="AU29" s="351"/>
      <c r="AV29" s="347"/>
      <c r="AW29" s="352"/>
      <c r="AX29" s="353"/>
      <c r="AY29" s="354">
        <v>20500</v>
      </c>
      <c r="AZ29" s="352">
        <v>0</v>
      </c>
      <c r="BA29" s="353">
        <f t="shared" si="14"/>
        <v>0</v>
      </c>
      <c r="BB29" s="356"/>
      <c r="BC29" s="354">
        <v>20719.38</v>
      </c>
      <c r="BD29" s="356" t="s">
        <v>226</v>
      </c>
      <c r="BE29" s="349">
        <v>20719.38</v>
      </c>
      <c r="BF29" s="350">
        <f>BL29/BC29</f>
        <v>1</v>
      </c>
      <c r="BG29" s="375">
        <v>20720</v>
      </c>
      <c r="BH29" s="434">
        <v>20719.38</v>
      </c>
      <c r="BI29" s="376">
        <v>0</v>
      </c>
      <c r="BJ29" s="376">
        <f t="shared" si="0"/>
        <v>20719.38</v>
      </c>
      <c r="BL29" s="349">
        <v>20719.38</v>
      </c>
      <c r="BM29" s="733">
        <f t="shared" si="12"/>
        <v>0.99997007722007725</v>
      </c>
      <c r="BN29" s="438">
        <v>20720</v>
      </c>
      <c r="BO29" s="808">
        <v>20720</v>
      </c>
      <c r="BP29" s="783"/>
      <c r="BQ29" s="801">
        <v>10359.69</v>
      </c>
      <c r="BR29" s="785">
        <v>10359.69</v>
      </c>
      <c r="BS29" s="792">
        <f t="shared" si="1"/>
        <v>20719.38</v>
      </c>
      <c r="BT29" s="792">
        <v>20719.38</v>
      </c>
      <c r="BU29" s="798">
        <f t="shared" si="17"/>
        <v>0.99997007722007725</v>
      </c>
      <c r="BV29" s="794">
        <v>20720</v>
      </c>
      <c r="BW29" s="879">
        <f>'Current Account'!U184+'Current Account'!V184</f>
        <v>20719.38</v>
      </c>
      <c r="BX29" s="796">
        <v>20719.38</v>
      </c>
      <c r="BY29" s="796">
        <v>0</v>
      </c>
      <c r="BZ29" s="796">
        <f t="shared" si="11"/>
        <v>20719.38</v>
      </c>
      <c r="CA29" s="988">
        <v>20719.38</v>
      </c>
      <c r="CB29" s="808">
        <v>20720</v>
      </c>
      <c r="CF29" s="253"/>
      <c r="CG29" s="254"/>
      <c r="CH29" s="254"/>
      <c r="CI29" s="254"/>
      <c r="CJ29" s="255"/>
      <c r="CL29" s="335"/>
      <c r="CM29" s="835"/>
      <c r="CN29" s="835"/>
      <c r="CO29" s="835"/>
      <c r="CP29" s="835"/>
      <c r="CQ29" s="835"/>
      <c r="CR29" s="836">
        <f>SUM(CR21:CR27)</f>
        <v>246668.51999999996</v>
      </c>
      <c r="CS29" s="847"/>
    </row>
    <row r="30" spans="1:97" ht="30" customHeight="1" x14ac:dyDescent="0.35">
      <c r="A30" s="415" t="s">
        <v>185</v>
      </c>
      <c r="B30" s="61"/>
      <c r="C30" s="265"/>
      <c r="D30" s="276"/>
      <c r="E30" s="277"/>
      <c r="F30" s="277"/>
      <c r="G30" s="276"/>
      <c r="H30" s="277"/>
      <c r="I30" s="61"/>
      <c r="J30" s="278"/>
      <c r="K30" s="279"/>
      <c r="L30" s="62"/>
      <c r="M30" s="200"/>
      <c r="N30" s="62"/>
      <c r="O30" s="70"/>
      <c r="P30" s="95"/>
      <c r="Q30" s="19"/>
      <c r="R30" s="53"/>
      <c r="S30" s="205"/>
      <c r="T30" s="55"/>
      <c r="U30" s="34"/>
      <c r="V30" s="33"/>
      <c r="W30" s="34"/>
      <c r="X30" s="33"/>
      <c r="Y30" s="56"/>
      <c r="Z30" s="33"/>
      <c r="AA30" s="55"/>
      <c r="AB30" s="66"/>
      <c r="AC30" s="206"/>
      <c r="AD30" s="202"/>
      <c r="AE30" s="280"/>
      <c r="AF30" s="62"/>
      <c r="AG30" s="206"/>
      <c r="AH30" s="69"/>
      <c r="AI30" s="267"/>
      <c r="AJ30" s="178"/>
      <c r="AK30" s="268"/>
      <c r="AL30" s="179"/>
      <c r="AM30" s="56"/>
      <c r="AN30" s="56"/>
      <c r="AO30" s="179"/>
      <c r="AP30" s="183"/>
      <c r="AQ30" s="281"/>
      <c r="AR30" s="56"/>
      <c r="AS30" s="348"/>
      <c r="AT30" s="351"/>
      <c r="AU30" s="351"/>
      <c r="AV30" s="347"/>
      <c r="AW30" s="352"/>
      <c r="AX30" s="353"/>
      <c r="AY30" s="354">
        <v>5000</v>
      </c>
      <c r="AZ30" s="352"/>
      <c r="BA30" s="353">
        <f t="shared" si="14"/>
        <v>0</v>
      </c>
      <c r="BB30" s="365" t="s">
        <v>209</v>
      </c>
      <c r="BC30" s="359">
        <v>250</v>
      </c>
      <c r="BD30" s="360"/>
      <c r="BE30" s="349">
        <v>1005.75</v>
      </c>
      <c r="BF30" s="350">
        <f>BL30/BC30</f>
        <v>0</v>
      </c>
      <c r="BG30" s="375">
        <v>0</v>
      </c>
      <c r="BH30" s="434"/>
      <c r="BI30" s="376">
        <v>0</v>
      </c>
      <c r="BJ30" s="376">
        <v>0</v>
      </c>
      <c r="BL30" s="349"/>
      <c r="BM30" s="733"/>
      <c r="BN30" s="438">
        <v>2000</v>
      </c>
      <c r="BO30" s="808">
        <v>2000</v>
      </c>
      <c r="BP30" s="790" t="s">
        <v>285</v>
      </c>
      <c r="BQ30" s="791">
        <v>603.45000000000005</v>
      </c>
      <c r="BR30" s="785">
        <v>0</v>
      </c>
      <c r="BS30" s="792">
        <f t="shared" si="1"/>
        <v>603.45000000000005</v>
      </c>
      <c r="BT30" s="792">
        <v>603.45000000000005</v>
      </c>
      <c r="BU30" s="798">
        <f t="shared" si="17"/>
        <v>0.30172500000000002</v>
      </c>
      <c r="BV30" s="794">
        <v>750</v>
      </c>
      <c r="BW30" s="879">
        <f>'Current Account'!AH184+'Current Account'!AG184</f>
        <v>2858.8300000000004</v>
      </c>
      <c r="BX30" s="796">
        <v>148.80000000000001</v>
      </c>
      <c r="BY30" s="796">
        <f>BX30/8*4</f>
        <v>74.400000000000006</v>
      </c>
      <c r="BZ30" s="796">
        <f t="shared" si="11"/>
        <v>223.20000000000002</v>
      </c>
      <c r="CA30" s="987">
        <v>2858.83</v>
      </c>
      <c r="CB30" s="808">
        <v>1250</v>
      </c>
      <c r="CC30" s="594" t="s">
        <v>1183</v>
      </c>
    </row>
    <row r="31" spans="1:97" ht="30" customHeight="1" x14ac:dyDescent="0.35">
      <c r="A31" s="415" t="s">
        <v>1232</v>
      </c>
      <c r="B31" s="61"/>
      <c r="C31" s="265"/>
      <c r="D31" s="276"/>
      <c r="E31" s="277"/>
      <c r="F31" s="277"/>
      <c r="G31" s="276"/>
      <c r="H31" s="277"/>
      <c r="I31" s="61"/>
      <c r="J31" s="278"/>
      <c r="K31" s="279"/>
      <c r="L31" s="62"/>
      <c r="M31" s="200"/>
      <c r="N31" s="62"/>
      <c r="O31" s="70"/>
      <c r="P31" s="95"/>
      <c r="Q31" s="19"/>
      <c r="R31" s="53"/>
      <c r="S31" s="205"/>
      <c r="T31" s="55"/>
      <c r="U31" s="34"/>
      <c r="V31" s="33"/>
      <c r="W31" s="34"/>
      <c r="X31" s="33"/>
      <c r="Y31" s="56"/>
      <c r="Z31" s="33"/>
      <c r="AA31" s="55"/>
      <c r="AB31" s="66"/>
      <c r="AC31" s="206"/>
      <c r="AD31" s="202"/>
      <c r="AE31" s="280"/>
      <c r="AF31" s="62"/>
      <c r="AG31" s="206"/>
      <c r="AH31" s="69"/>
      <c r="AI31" s="267"/>
      <c r="AJ31" s="178"/>
      <c r="AK31" s="268"/>
      <c r="AL31" s="179"/>
      <c r="AM31" s="56"/>
      <c r="AN31" s="56"/>
      <c r="AO31" s="179"/>
      <c r="AP31" s="183"/>
      <c r="AQ31" s="281"/>
      <c r="AR31" s="56"/>
      <c r="AS31" s="348"/>
      <c r="AT31" s="351"/>
      <c r="AU31" s="351"/>
      <c r="AV31" s="347"/>
      <c r="AW31" s="352"/>
      <c r="AX31" s="353"/>
      <c r="AY31" s="354"/>
      <c r="AZ31" s="352"/>
      <c r="BA31" s="353"/>
      <c r="BB31" s="365"/>
      <c r="BC31" s="359"/>
      <c r="BD31" s="360"/>
      <c r="BE31" s="349"/>
      <c r="BF31" s="350"/>
      <c r="BG31" s="375"/>
      <c r="BH31" s="434"/>
      <c r="BI31" s="376"/>
      <c r="BJ31" s="376"/>
      <c r="BL31" s="349"/>
      <c r="BM31" s="733"/>
      <c r="BN31" s="438"/>
      <c r="BO31" s="808"/>
      <c r="BP31" s="790"/>
      <c r="BQ31" s="791"/>
      <c r="BR31" s="785"/>
      <c r="BS31" s="792"/>
      <c r="BT31" s="792"/>
      <c r="BU31" s="798"/>
      <c r="BV31" s="794"/>
      <c r="BW31" s="879">
        <f>'Current Account'!AE184</f>
        <v>350</v>
      </c>
      <c r="BX31" s="796"/>
      <c r="BY31" s="796"/>
      <c r="BZ31" s="796"/>
      <c r="CA31" s="987">
        <v>350</v>
      </c>
      <c r="CB31" s="808"/>
      <c r="CC31" s="594"/>
    </row>
    <row r="32" spans="1:97" ht="30" customHeight="1" x14ac:dyDescent="0.35">
      <c r="A32" s="415" t="s">
        <v>184</v>
      </c>
      <c r="B32" s="61"/>
      <c r="C32" s="265"/>
      <c r="D32" s="276"/>
      <c r="E32" s="277"/>
      <c r="F32" s="277"/>
      <c r="G32" s="276"/>
      <c r="H32" s="277"/>
      <c r="I32" s="61"/>
      <c r="J32" s="278"/>
      <c r="K32" s="279"/>
      <c r="L32" s="62"/>
      <c r="M32" s="200"/>
      <c r="N32" s="62"/>
      <c r="O32" s="70"/>
      <c r="P32" s="95"/>
      <c r="Q32" s="19"/>
      <c r="R32" s="53"/>
      <c r="S32" s="205"/>
      <c r="T32" s="55"/>
      <c r="U32" s="34"/>
      <c r="V32" s="33"/>
      <c r="W32" s="34"/>
      <c r="X32" s="33"/>
      <c r="Y32" s="56"/>
      <c r="Z32" s="33"/>
      <c r="AA32" s="55"/>
      <c r="AB32" s="66"/>
      <c r="AC32" s="206"/>
      <c r="AD32" s="202"/>
      <c r="AE32" s="280"/>
      <c r="AF32" s="62"/>
      <c r="AG32" s="206"/>
      <c r="AH32" s="69"/>
      <c r="AI32" s="267"/>
      <c r="AJ32" s="178"/>
      <c r="AK32" s="268"/>
      <c r="AL32" s="179"/>
      <c r="AM32" s="56"/>
      <c r="AN32" s="56"/>
      <c r="AO32" s="179"/>
      <c r="AP32" s="183"/>
      <c r="AQ32" s="281"/>
      <c r="AR32" s="56"/>
      <c r="AS32" s="348"/>
      <c r="AT32" s="351"/>
      <c r="AU32" s="351"/>
      <c r="AV32" s="347"/>
      <c r="AW32" s="352"/>
      <c r="AX32" s="353"/>
      <c r="AY32" s="354"/>
      <c r="AZ32" s="352">
        <f>'[1]Current Account'!AD94</f>
        <v>500</v>
      </c>
      <c r="BA32" s="353"/>
      <c r="BB32" s="356"/>
      <c r="BC32" s="354">
        <v>500</v>
      </c>
      <c r="BD32" s="356"/>
      <c r="BE32" s="349"/>
      <c r="BF32" s="350">
        <f>BL32/BC32</f>
        <v>0</v>
      </c>
      <c r="BG32" s="375">
        <v>500</v>
      </c>
      <c r="BH32" s="434"/>
      <c r="BI32" s="376">
        <v>0</v>
      </c>
      <c r="BJ32" s="376">
        <f>BH32+BI32</f>
        <v>0</v>
      </c>
      <c r="BL32" s="349"/>
      <c r="BM32" s="733">
        <f t="shared" si="12"/>
        <v>0</v>
      </c>
      <c r="BN32" s="438">
        <v>500</v>
      </c>
      <c r="BO32" s="808">
        <v>500</v>
      </c>
      <c r="BP32" s="783"/>
      <c r="BQ32" s="801">
        <v>0</v>
      </c>
      <c r="BR32" s="785">
        <v>0</v>
      </c>
      <c r="BS32" s="792">
        <f t="shared" si="1"/>
        <v>0</v>
      </c>
      <c r="BT32" s="792">
        <v>0</v>
      </c>
      <c r="BU32" s="798">
        <f t="shared" si="17"/>
        <v>0</v>
      </c>
      <c r="BV32" s="794">
        <v>500</v>
      </c>
      <c r="BW32" s="872">
        <v>0</v>
      </c>
      <c r="BX32" s="796">
        <v>0</v>
      </c>
      <c r="BY32" s="796"/>
      <c r="BZ32" s="796">
        <f t="shared" si="11"/>
        <v>0</v>
      </c>
      <c r="CA32" s="796">
        <v>0</v>
      </c>
      <c r="CB32" s="808">
        <v>0</v>
      </c>
      <c r="CM32" t="s">
        <v>55</v>
      </c>
    </row>
    <row r="33" spans="1:81" ht="30" customHeight="1" x14ac:dyDescent="0.35">
      <c r="A33" s="415" t="s">
        <v>195</v>
      </c>
      <c r="B33" s="61"/>
      <c r="C33" s="265"/>
      <c r="D33" s="276"/>
      <c r="E33" s="277"/>
      <c r="F33" s="277"/>
      <c r="G33" s="276"/>
      <c r="H33" s="277"/>
      <c r="I33" s="61"/>
      <c r="J33" s="278"/>
      <c r="K33" s="279"/>
      <c r="L33" s="62"/>
      <c r="M33" s="200"/>
      <c r="N33" s="62"/>
      <c r="O33" s="70"/>
      <c r="P33" s="95"/>
      <c r="Q33" s="19"/>
      <c r="R33" s="53"/>
      <c r="S33" s="205"/>
      <c r="T33" s="55"/>
      <c r="U33" s="34"/>
      <c r="V33" s="33"/>
      <c r="W33" s="34"/>
      <c r="X33" s="33"/>
      <c r="Y33" s="56"/>
      <c r="Z33" s="33"/>
      <c r="AA33" s="55"/>
      <c r="AB33" s="66"/>
      <c r="AC33" s="206"/>
      <c r="AD33" s="202"/>
      <c r="AE33" s="280"/>
      <c r="AF33" s="62"/>
      <c r="AG33" s="206"/>
      <c r="AH33" s="69"/>
      <c r="AI33" s="267"/>
      <c r="AJ33" s="178"/>
      <c r="AK33" s="268"/>
      <c r="AL33" s="179"/>
      <c r="AM33" s="56"/>
      <c r="AN33" s="56"/>
      <c r="AO33" s="179"/>
      <c r="AP33" s="183"/>
      <c r="AQ33" s="281"/>
      <c r="AR33" s="56"/>
      <c r="AS33" s="348"/>
      <c r="AT33" s="351"/>
      <c r="AU33" s="351"/>
      <c r="AV33" s="347"/>
      <c r="AW33" s="352"/>
      <c r="AX33" s="353"/>
      <c r="AY33" s="354"/>
      <c r="AZ33" s="352"/>
      <c r="BA33" s="353"/>
      <c r="BB33" s="356"/>
      <c r="BC33" s="354"/>
      <c r="BD33" s="356"/>
      <c r="BE33" s="349"/>
      <c r="BF33" s="350"/>
      <c r="BG33" s="375"/>
      <c r="BH33" s="434"/>
      <c r="BI33" s="376"/>
      <c r="BJ33" s="376"/>
      <c r="BL33" s="349"/>
      <c r="BM33" s="733"/>
      <c r="BN33" s="438"/>
      <c r="BO33" s="808"/>
      <c r="BP33" s="783"/>
      <c r="BQ33" s="801"/>
      <c r="BR33" s="785"/>
      <c r="BS33" s="792"/>
      <c r="BT33" s="792">
        <v>4.67</v>
      </c>
      <c r="BU33" s="798"/>
      <c r="BV33" s="794"/>
      <c r="BW33" s="879">
        <f>'Current Account'!T184</f>
        <v>51.42</v>
      </c>
      <c r="BX33" s="796">
        <v>29.75</v>
      </c>
      <c r="BY33" s="796">
        <f>4*4.25</f>
        <v>17</v>
      </c>
      <c r="BZ33" s="796">
        <f t="shared" si="11"/>
        <v>46.75</v>
      </c>
      <c r="CA33" s="987">
        <v>51.42</v>
      </c>
      <c r="CB33" s="808">
        <f>12*4.25</f>
        <v>51</v>
      </c>
    </row>
    <row r="34" spans="1:81" ht="30" customHeight="1" x14ac:dyDescent="0.35">
      <c r="A34" s="460" t="s">
        <v>893</v>
      </c>
      <c r="B34" s="61"/>
      <c r="C34" s="265"/>
      <c r="D34" s="276"/>
      <c r="E34" s="277"/>
      <c r="F34" s="277"/>
      <c r="G34" s="276"/>
      <c r="H34" s="277"/>
      <c r="I34" s="61"/>
      <c r="J34" s="278"/>
      <c r="K34" s="279"/>
      <c r="L34" s="62"/>
      <c r="M34" s="200"/>
      <c r="N34" s="62"/>
      <c r="O34" s="70"/>
      <c r="P34" s="95"/>
      <c r="Q34" s="19"/>
      <c r="R34" s="53"/>
      <c r="S34" s="205"/>
      <c r="T34" s="55"/>
      <c r="U34" s="34"/>
      <c r="V34" s="33"/>
      <c r="W34" s="34"/>
      <c r="X34" s="33"/>
      <c r="Y34" s="56"/>
      <c r="Z34" s="33"/>
      <c r="AA34" s="55"/>
      <c r="AB34" s="66"/>
      <c r="AC34" s="206"/>
      <c r="AD34" s="202"/>
      <c r="AE34" s="280"/>
      <c r="AF34" s="62"/>
      <c r="AG34" s="206"/>
      <c r="AH34" s="69"/>
      <c r="AI34" s="267"/>
      <c r="AJ34" s="178"/>
      <c r="AK34" s="268"/>
      <c r="AL34" s="179"/>
      <c r="AM34" s="56"/>
      <c r="AN34" s="56"/>
      <c r="AO34" s="179"/>
      <c r="AP34" s="183"/>
      <c r="AQ34" s="281"/>
      <c r="AR34" s="56"/>
      <c r="AS34" s="348"/>
      <c r="AT34" s="351"/>
      <c r="AU34" s="351"/>
      <c r="AV34" s="347"/>
      <c r="AW34" s="352"/>
      <c r="AX34" s="353"/>
      <c r="AY34" s="354"/>
      <c r="AZ34" s="352"/>
      <c r="BA34" s="353"/>
      <c r="BB34" s="356"/>
      <c r="BC34" s="354"/>
      <c r="BD34" s="356"/>
      <c r="BE34" s="349"/>
      <c r="BF34" s="350"/>
      <c r="BG34" s="375"/>
      <c r="BH34" s="434"/>
      <c r="BI34" s="376"/>
      <c r="BJ34" s="376">
        <f>BH34+BI34</f>
        <v>0</v>
      </c>
      <c r="BL34" s="349"/>
      <c r="BM34" s="733"/>
      <c r="BN34" s="438"/>
      <c r="BO34" s="808"/>
      <c r="BP34" s="783"/>
      <c r="BQ34" s="801">
        <v>0</v>
      </c>
      <c r="BR34" s="785">
        <v>0</v>
      </c>
      <c r="BS34" s="792">
        <f>BR34+BQ34</f>
        <v>0</v>
      </c>
      <c r="BT34" s="792">
        <v>0</v>
      </c>
      <c r="BU34" s="798"/>
      <c r="BV34" s="794">
        <v>0</v>
      </c>
      <c r="BW34" s="879">
        <f>'Current Account'!AI184</f>
        <v>500</v>
      </c>
      <c r="BX34" s="796">
        <v>0</v>
      </c>
      <c r="BY34" s="796">
        <v>0</v>
      </c>
      <c r="BZ34" s="796">
        <f t="shared" si="11"/>
        <v>0</v>
      </c>
      <c r="CA34" s="987">
        <v>500</v>
      </c>
      <c r="CB34" s="808">
        <v>3000</v>
      </c>
    </row>
    <row r="35" spans="1:81" ht="30" customHeight="1" x14ac:dyDescent="0.35">
      <c r="A35" s="415" t="s">
        <v>1304</v>
      </c>
      <c r="B35" s="61"/>
      <c r="C35" s="265"/>
      <c r="D35" s="276"/>
      <c r="E35" s="277"/>
      <c r="F35" s="277"/>
      <c r="G35" s="276"/>
      <c r="H35" s="277"/>
      <c r="I35" s="61"/>
      <c r="J35" s="278"/>
      <c r="K35" s="279"/>
      <c r="L35" s="62"/>
      <c r="M35" s="200"/>
      <c r="N35" s="62"/>
      <c r="O35" s="70"/>
      <c r="P35" s="95"/>
      <c r="Q35" s="19"/>
      <c r="R35" s="53"/>
      <c r="S35" s="205"/>
      <c r="T35" s="55"/>
      <c r="U35" s="34"/>
      <c r="V35" s="33"/>
      <c r="W35" s="34"/>
      <c r="X35" s="33"/>
      <c r="Y35" s="56"/>
      <c r="Z35" s="33"/>
      <c r="AA35" s="55"/>
      <c r="AB35" s="66"/>
      <c r="AC35" s="206"/>
      <c r="AD35" s="202"/>
      <c r="AE35" s="280"/>
      <c r="AF35" s="62"/>
      <c r="AG35" s="206"/>
      <c r="AH35" s="69"/>
      <c r="AI35" s="267"/>
      <c r="AJ35" s="178"/>
      <c r="AK35" s="268"/>
      <c r="AL35" s="179"/>
      <c r="AM35" s="56"/>
      <c r="AN35" s="56"/>
      <c r="AO35" s="179"/>
      <c r="AP35" s="183"/>
      <c r="AQ35" s="281"/>
      <c r="AR35" s="56"/>
      <c r="AS35" s="348"/>
      <c r="AT35" s="351"/>
      <c r="AU35" s="351"/>
      <c r="AV35" s="347"/>
      <c r="AW35" s="352"/>
      <c r="AX35" s="353"/>
      <c r="AY35" s="354"/>
      <c r="AZ35" s="352"/>
      <c r="BA35" s="353"/>
      <c r="BB35" s="356"/>
      <c r="BC35" s="354"/>
      <c r="BD35" s="356"/>
      <c r="BE35" s="349"/>
      <c r="BF35" s="350"/>
      <c r="BG35" s="375"/>
      <c r="BH35" s="434"/>
      <c r="BI35" s="376"/>
      <c r="BJ35" s="376">
        <f>BH35+BI35</f>
        <v>0</v>
      </c>
      <c r="BL35" s="349"/>
      <c r="BM35" s="733"/>
      <c r="BN35" s="438"/>
      <c r="BO35" s="808"/>
      <c r="BP35" s="783"/>
      <c r="BQ35" s="801">
        <v>0</v>
      </c>
      <c r="BR35" s="785">
        <v>0</v>
      </c>
      <c r="BS35" s="792">
        <f>BR35+BQ35</f>
        <v>0</v>
      </c>
      <c r="BT35" s="792">
        <v>0</v>
      </c>
      <c r="BU35" s="798"/>
      <c r="BV35" s="794">
        <v>0</v>
      </c>
      <c r="BW35" s="872"/>
      <c r="BX35" s="796"/>
      <c r="BY35" s="796"/>
      <c r="BZ35" s="796">
        <f t="shared" si="11"/>
        <v>0</v>
      </c>
      <c r="CA35" s="796"/>
      <c r="CB35" s="808"/>
    </row>
    <row r="36" spans="1:81" ht="30" customHeight="1" x14ac:dyDescent="0.35">
      <c r="A36" s="415" t="s">
        <v>268</v>
      </c>
      <c r="B36" s="61"/>
      <c r="C36" s="265"/>
      <c r="D36" s="276"/>
      <c r="E36" s="277"/>
      <c r="F36" s="277"/>
      <c r="G36" s="276"/>
      <c r="H36" s="277"/>
      <c r="I36" s="61"/>
      <c r="J36" s="278"/>
      <c r="K36" s="279"/>
      <c r="L36" s="62"/>
      <c r="M36" s="200"/>
      <c r="N36" s="62"/>
      <c r="O36" s="70"/>
      <c r="P36" s="95"/>
      <c r="Q36" s="19"/>
      <c r="R36" s="53"/>
      <c r="S36" s="205"/>
      <c r="T36" s="55"/>
      <c r="U36" s="34"/>
      <c r="V36" s="33"/>
      <c r="W36" s="34"/>
      <c r="X36" s="33"/>
      <c r="Y36" s="56"/>
      <c r="Z36" s="33"/>
      <c r="AA36" s="55"/>
      <c r="AB36" s="66"/>
      <c r="AC36" s="206"/>
      <c r="AD36" s="202"/>
      <c r="AE36" s="280"/>
      <c r="AF36" s="62"/>
      <c r="AG36" s="206"/>
      <c r="AH36" s="69"/>
      <c r="AI36" s="267"/>
      <c r="AJ36" s="178"/>
      <c r="AK36" s="268"/>
      <c r="AL36" s="179"/>
      <c r="AM36" s="56"/>
      <c r="AN36" s="56"/>
      <c r="AO36" s="179"/>
      <c r="AP36" s="183"/>
      <c r="AQ36" s="281"/>
      <c r="AR36" s="56"/>
      <c r="AS36" s="348"/>
      <c r="AT36" s="351"/>
      <c r="AU36" s="351"/>
      <c r="AV36" s="347"/>
      <c r="AW36" s="352"/>
      <c r="AX36" s="353"/>
      <c r="AY36" s="354"/>
      <c r="AZ36" s="352"/>
      <c r="BA36" s="353"/>
      <c r="BB36" s="356"/>
      <c r="BC36" s="354"/>
      <c r="BD36" s="356"/>
      <c r="BE36" s="366"/>
      <c r="BF36" s="350"/>
      <c r="BG36" s="375"/>
      <c r="BH36" s="434"/>
      <c r="BI36" s="377"/>
      <c r="BJ36" s="376">
        <f>BH36+BI36</f>
        <v>0</v>
      </c>
      <c r="BL36" s="366"/>
      <c r="BM36" s="733"/>
      <c r="BN36" s="438"/>
      <c r="BO36" s="808"/>
      <c r="BP36" s="783"/>
      <c r="BQ36" s="801">
        <v>0</v>
      </c>
      <c r="BR36" s="804">
        <v>0</v>
      </c>
      <c r="BS36" s="792">
        <f>BR36+BQ36</f>
        <v>0</v>
      </c>
      <c r="BT36" s="792">
        <v>0</v>
      </c>
      <c r="BU36" s="798"/>
      <c r="BV36" s="794">
        <v>0</v>
      </c>
      <c r="BW36" s="872"/>
      <c r="BX36" s="796"/>
      <c r="BY36" s="796"/>
      <c r="BZ36" s="796">
        <f t="shared" si="11"/>
        <v>0</v>
      </c>
      <c r="CA36" s="796"/>
      <c r="CB36" s="808"/>
    </row>
    <row r="37" spans="1:81" ht="30" customHeight="1" x14ac:dyDescent="0.35">
      <c r="A37" s="415" t="s">
        <v>19</v>
      </c>
      <c r="B37" s="71">
        <f>SUM(B4:B23)</f>
        <v>20570.370000000003</v>
      </c>
      <c r="C37" s="265">
        <f>SUM(C4:C23)</f>
        <v>20840.669999999998</v>
      </c>
      <c r="D37" s="72">
        <f>SUM(D4:D23)</f>
        <v>21501</v>
      </c>
      <c r="E37" s="73">
        <f>SUM(E4:E23)</f>
        <v>21960.049999999996</v>
      </c>
      <c r="F37" s="73">
        <f>SUM(F4:F23)</f>
        <v>26571.39</v>
      </c>
      <c r="G37" s="72">
        <f>SUM(G4:G25)</f>
        <v>27833</v>
      </c>
      <c r="H37" s="73">
        <f>SUM(H4:H23) - H28</f>
        <v>17896.5</v>
      </c>
      <c r="I37" s="71">
        <f>SUM(I4:I25)</f>
        <v>28080</v>
      </c>
      <c r="J37" s="74">
        <f>SUM(J4:J25)</f>
        <v>28512.06</v>
      </c>
      <c r="K37" s="75">
        <f>SUM(K4:K25)</f>
        <v>30350</v>
      </c>
      <c r="L37" s="62">
        <f t="shared" ref="L37:U37" si="19">SUM(L4:L28)</f>
        <v>29358.829999999994</v>
      </c>
      <c r="M37" s="76">
        <f t="shared" si="19"/>
        <v>55485.9</v>
      </c>
      <c r="N37" s="62">
        <f t="shared" si="19"/>
        <v>47974.23</v>
      </c>
      <c r="O37" s="62">
        <f t="shared" si="19"/>
        <v>-1378.5100000000002</v>
      </c>
      <c r="P37" s="62">
        <f t="shared" si="19"/>
        <v>46595.720000000008</v>
      </c>
      <c r="Q37" s="62">
        <f t="shared" si="19"/>
        <v>370</v>
      </c>
      <c r="R37" s="62">
        <f t="shared" si="19"/>
        <v>46965.720000000008</v>
      </c>
      <c r="S37" s="62">
        <f t="shared" si="19"/>
        <v>15.840316358111961</v>
      </c>
      <c r="T37" s="42">
        <f t="shared" si="19"/>
        <v>75558</v>
      </c>
      <c r="U37" s="62">
        <f t="shared" si="19"/>
        <v>40137.349999999991</v>
      </c>
      <c r="V37" s="33">
        <f>U37/T37</f>
        <v>0.53121244606792117</v>
      </c>
      <c r="W37" s="34">
        <f>SUM(W3:W26)</f>
        <v>55665.919999999998</v>
      </c>
      <c r="X37" s="33">
        <f>W37/T37</f>
        <v>0.73673098811509041</v>
      </c>
      <c r="Y37" s="56">
        <f>SUM(Y4:Y28)</f>
        <v>66537.22</v>
      </c>
      <c r="Z37" s="33">
        <f>Y37/T37</f>
        <v>0.88061118610868472</v>
      </c>
      <c r="AA37" s="55">
        <f>SUM(AA4:AA26)</f>
        <v>61330</v>
      </c>
      <c r="AB37" s="66">
        <f>SUM(AB4:AB28)</f>
        <v>12596.59</v>
      </c>
      <c r="AC37" s="206">
        <f>AB37/AA37</f>
        <v>0.20539034730148378</v>
      </c>
      <c r="AD37" s="202"/>
      <c r="AE37" s="280"/>
      <c r="AF37" s="65">
        <f>SUM(AF4:AF28)</f>
        <v>30370.3</v>
      </c>
      <c r="AG37" s="206">
        <f>AF37/AA37</f>
        <v>0.4951948475460623</v>
      </c>
      <c r="AH37" s="69">
        <f>SUM(AH4:AH28)</f>
        <v>56400</v>
      </c>
      <c r="AI37" s="267">
        <f>SUM(AI4:AI28)</f>
        <v>8878.07</v>
      </c>
      <c r="AJ37" s="178">
        <f t="shared" si="6"/>
        <v>0.15741258865248225</v>
      </c>
      <c r="AK37" s="268">
        <f>SUM(AK4:AK28)</f>
        <v>25381.27</v>
      </c>
      <c r="AL37" s="179">
        <f t="shared" si="7"/>
        <v>0.45002251773049645</v>
      </c>
      <c r="AM37" s="56">
        <f>SUM(AM4:AM28)</f>
        <v>9157.3499999999985</v>
      </c>
      <c r="AN37" s="56">
        <f>SUM(AN4:AN28)</f>
        <v>34538.620000000003</v>
      </c>
      <c r="AO37" s="179">
        <f t="shared" si="8"/>
        <v>0.61238687943262415</v>
      </c>
      <c r="AP37" s="183"/>
      <c r="AQ37" s="174">
        <f>SUM(AQ4:AQ28)</f>
        <v>0</v>
      </c>
      <c r="AR37" s="56">
        <f>SUM(AR4:AR28)</f>
        <v>39798.909999999996</v>
      </c>
      <c r="AS37" s="367">
        <f>SUM(AS4:AS28)</f>
        <v>47000</v>
      </c>
      <c r="AT37" s="368">
        <f>SUM(AT4:AT28)</f>
        <v>240547.26000000004</v>
      </c>
      <c r="AU37" s="368">
        <f>SUM(AU4:AU28)</f>
        <v>20549.87</v>
      </c>
      <c r="AV37" s="347">
        <f t="shared" si="9"/>
        <v>0.43723127659574468</v>
      </c>
      <c r="AW37" s="369">
        <f>SUM(AW4:AW32)</f>
        <v>30120.65</v>
      </c>
      <c r="AX37" s="347">
        <f t="shared" si="10"/>
        <v>0.64086489361702126</v>
      </c>
      <c r="AY37" s="370">
        <f>SUM(AY4:AY36)</f>
        <v>67130</v>
      </c>
      <c r="AZ37" s="369">
        <f>SUM(AZ4:AZ36)</f>
        <v>33945.840000000004</v>
      </c>
      <c r="BA37" s="347">
        <f t="shared" si="14"/>
        <v>0.50567317145836443</v>
      </c>
      <c r="BB37" s="355"/>
      <c r="BC37" s="359">
        <f>SUM(BC4:BC36)</f>
        <v>72640.180000000008</v>
      </c>
      <c r="BD37" s="359">
        <f>SUM(BD4:BD36)</f>
        <v>0</v>
      </c>
      <c r="BE37" s="371">
        <f>SUM(BE4:BE36)</f>
        <v>73695.06</v>
      </c>
      <c r="BF37" s="347">
        <f>BE37/BC37</f>
        <v>1.0145219904466094</v>
      </c>
      <c r="BG37" s="354">
        <f>SUM(BG4:BG32)</f>
        <v>78310</v>
      </c>
      <c r="BH37" s="352">
        <f>SUM(BH4:BH36)</f>
        <v>48838.070000000007</v>
      </c>
      <c r="BI37" s="451">
        <f>SUM(BI4:BI36)</f>
        <v>21645.846389999999</v>
      </c>
      <c r="BJ37" s="451">
        <f>SUM(BJ4:BJ36)</f>
        <v>70483.916389999984</v>
      </c>
      <c r="BL37" s="371">
        <f>SUM(BL4:BL36)</f>
        <v>61168.130000000005</v>
      </c>
      <c r="BM37" s="733">
        <f t="shared" si="12"/>
        <v>0.78110241348486786</v>
      </c>
      <c r="BN37" s="439">
        <f>SUM(BN4:BN36)</f>
        <v>88846.94</v>
      </c>
      <c r="BO37" s="808">
        <f>SUM(BO4:BO36)</f>
        <v>88846.94</v>
      </c>
      <c r="BP37" s="790"/>
      <c r="BQ37" s="805">
        <f>SUM(BQ4:BQ36)</f>
        <v>40274.579999999994</v>
      </c>
      <c r="BR37" s="806" t="e">
        <f>SUM(BR4:BR36)</f>
        <v>#REF!</v>
      </c>
      <c r="BS37" s="806" t="e">
        <f>SUM(BS4:BS36)</f>
        <v>#REF!</v>
      </c>
      <c r="BT37" s="806">
        <f>SUM(BT4:BT36)</f>
        <v>70377.099999999991</v>
      </c>
      <c r="BU37" s="807">
        <f t="shared" si="17"/>
        <v>0.79211619443505865</v>
      </c>
      <c r="BV37" s="808">
        <f>SUM(BV3:BV36)</f>
        <v>91476.526599999997</v>
      </c>
      <c r="BW37" s="872">
        <f>SUM(BW3:BW36)</f>
        <v>81440.98000000001</v>
      </c>
      <c r="BX37" s="795">
        <f>SUM(BX3:BX36)</f>
        <v>59418.260000000009</v>
      </c>
      <c r="BY37" s="795">
        <f t="shared" ref="BY37" si="20">SUM(BY3:BY36)</f>
        <v>44088.805734761903</v>
      </c>
      <c r="BZ37" s="796">
        <f>SUM(BZ4:BZ36)</f>
        <v>103507.06573476191</v>
      </c>
      <c r="CA37" s="795">
        <f>SUM(CA3:CA36)</f>
        <v>81440.98</v>
      </c>
      <c r="CB37" s="808">
        <f>SUM(CB3:CB36)</f>
        <v>89145.634950000007</v>
      </c>
      <c r="CC37" s="594"/>
    </row>
    <row r="38" spans="1:81" ht="30" customHeight="1" x14ac:dyDescent="0.35">
      <c r="A38" s="415" t="s">
        <v>81</v>
      </c>
      <c r="B38" s="284">
        <v>25000</v>
      </c>
      <c r="C38" s="285"/>
      <c r="D38" s="77">
        <v>25000</v>
      </c>
      <c r="E38" s="78"/>
      <c r="F38" s="79">
        <v>25000</v>
      </c>
      <c r="G38" s="77">
        <v>28083</v>
      </c>
      <c r="H38" s="79">
        <v>28083</v>
      </c>
      <c r="I38" s="80">
        <v>29000</v>
      </c>
      <c r="J38" s="81">
        <v>29000</v>
      </c>
      <c r="K38" s="82" t="s">
        <v>55</v>
      </c>
      <c r="L38" s="83">
        <v>30350</v>
      </c>
      <c r="M38" s="84">
        <v>46050</v>
      </c>
      <c r="N38" s="62">
        <v>46050</v>
      </c>
      <c r="O38" s="19"/>
      <c r="P38" s="19"/>
      <c r="Q38" s="19"/>
      <c r="R38" s="283"/>
      <c r="S38" s="19"/>
      <c r="T38" s="42">
        <v>50655</v>
      </c>
      <c r="U38" s="286">
        <v>50655</v>
      </c>
      <c r="V38" s="33"/>
      <c r="W38" s="34">
        <v>50655</v>
      </c>
      <c r="X38" s="33"/>
      <c r="Y38" s="56">
        <v>50655</v>
      </c>
      <c r="Z38" s="33"/>
      <c r="AA38" s="85">
        <v>56490</v>
      </c>
      <c r="AB38" s="65">
        <v>56490</v>
      </c>
      <c r="AC38" s="38"/>
      <c r="AD38" s="287"/>
      <c r="AE38" s="19"/>
      <c r="AF38" s="62">
        <v>56490</v>
      </c>
      <c r="AG38" s="206"/>
      <c r="AH38" s="42">
        <v>58937</v>
      </c>
      <c r="AI38" s="263">
        <v>58937</v>
      </c>
      <c r="AJ38" s="178"/>
      <c r="AK38" s="62">
        <v>58937</v>
      </c>
      <c r="AL38" s="179"/>
      <c r="AM38" s="56"/>
      <c r="AN38" s="56">
        <v>58937</v>
      </c>
      <c r="AO38" s="179"/>
      <c r="AP38" s="183"/>
      <c r="AQ38" s="264"/>
      <c r="AR38" s="56">
        <v>58937</v>
      </c>
      <c r="AS38" s="372">
        <v>62000</v>
      </c>
      <c r="AT38" s="357">
        <v>62000</v>
      </c>
      <c r="AU38" s="357">
        <v>62000</v>
      </c>
      <c r="AV38" s="372"/>
      <c r="AW38" s="369">
        <v>62000</v>
      </c>
      <c r="AX38" s="347"/>
      <c r="AY38" s="372">
        <v>63770</v>
      </c>
      <c r="AZ38" s="357">
        <v>63770</v>
      </c>
      <c r="BA38" s="357"/>
      <c r="BB38" s="373"/>
      <c r="BC38" s="345">
        <v>65400</v>
      </c>
      <c r="BD38" s="345">
        <v>65400</v>
      </c>
      <c r="BE38" s="374">
        <v>65400</v>
      </c>
      <c r="BF38" s="357">
        <v>65400</v>
      </c>
      <c r="BG38" s="378">
        <v>62000</v>
      </c>
      <c r="BH38" s="435">
        <v>62000</v>
      </c>
      <c r="BI38" s="374">
        <v>62000</v>
      </c>
      <c r="BJ38" s="374">
        <v>62000</v>
      </c>
      <c r="BL38" s="374">
        <v>62000</v>
      </c>
      <c r="BM38" s="374">
        <v>62000</v>
      </c>
      <c r="BN38" s="439">
        <v>65400</v>
      </c>
      <c r="BO38" s="794">
        <v>66500</v>
      </c>
      <c r="BP38" s="783"/>
      <c r="BQ38" s="809">
        <v>66500</v>
      </c>
      <c r="BR38" s="810">
        <v>66500</v>
      </c>
      <c r="BS38" s="810">
        <v>66500</v>
      </c>
      <c r="BT38" s="810">
        <v>66500</v>
      </c>
      <c r="BU38" s="810"/>
      <c r="BV38" s="811">
        <v>69690</v>
      </c>
      <c r="BW38" s="873">
        <v>69690</v>
      </c>
      <c r="BX38" s="812">
        <v>69690</v>
      </c>
      <c r="BY38" s="812">
        <v>69690</v>
      </c>
      <c r="BZ38" s="812">
        <v>69690</v>
      </c>
      <c r="CA38" s="812">
        <v>69690</v>
      </c>
      <c r="CB38" s="813">
        <v>80000</v>
      </c>
    </row>
    <row r="39" spans="1:81" ht="30" customHeight="1" x14ac:dyDescent="0.35">
      <c r="A39" s="288" t="s">
        <v>55</v>
      </c>
      <c r="B39" s="19"/>
      <c r="C39" s="289"/>
      <c r="D39" s="67" t="s">
        <v>55</v>
      </c>
      <c r="F39" s="19"/>
      <c r="H39" s="19"/>
      <c r="L39" s="283"/>
      <c r="M39" s="193"/>
      <c r="N39" s="19"/>
      <c r="O39" s="19"/>
      <c r="P39" s="19"/>
      <c r="Q39" s="19"/>
      <c r="R39" s="283"/>
      <c r="S39" s="19"/>
      <c r="T39" s="193"/>
      <c r="U39" s="193"/>
      <c r="V39" s="193"/>
      <c r="W39" s="193"/>
      <c r="X39" s="193"/>
      <c r="Y39" s="256"/>
      <c r="Z39" s="193"/>
      <c r="AA39" s="193"/>
      <c r="AB39" s="283"/>
      <c r="AC39" s="283"/>
      <c r="AD39" s="193"/>
      <c r="AE39" s="19"/>
      <c r="AF39" s="19"/>
      <c r="AG39" s="290"/>
      <c r="AH39" s="256"/>
      <c r="AI39" s="259"/>
      <c r="AJ39" s="259"/>
      <c r="AK39" s="190"/>
      <c r="AL39" s="190"/>
      <c r="AM39" s="190"/>
      <c r="AN39" s="190"/>
      <c r="AO39" s="190"/>
      <c r="AP39" s="291"/>
      <c r="AQ39" s="256"/>
      <c r="AS39" s="193"/>
      <c r="AT39" s="193"/>
      <c r="AU39" s="193"/>
      <c r="AV39" s="193"/>
      <c r="AW39" s="193"/>
      <c r="AX39" s="193"/>
      <c r="AY39" s="256"/>
      <c r="AZ39" s="256"/>
      <c r="BA39" s="256"/>
      <c r="BB39" s="256"/>
      <c r="BC39" s="256"/>
      <c r="BD39" s="204"/>
    </row>
    <row r="40" spans="1:81" ht="30" customHeight="1" x14ac:dyDescent="0.35">
      <c r="A40" s="754"/>
      <c r="B40" s="408"/>
      <c r="C40" s="755"/>
      <c r="D40" s="754"/>
      <c r="E40" s="379"/>
      <c r="F40" s="408"/>
      <c r="G40" s="379"/>
      <c r="H40" s="408"/>
      <c r="I40" s="379"/>
      <c r="J40" s="379"/>
      <c r="K40" s="379"/>
      <c r="L40" s="756"/>
      <c r="M40" s="757"/>
      <c r="N40" s="408"/>
      <c r="O40" s="408"/>
      <c r="P40" s="408"/>
      <c r="Q40" s="408"/>
      <c r="R40" s="756"/>
      <c r="S40" s="408"/>
      <c r="T40" s="757"/>
      <c r="U40" s="757"/>
      <c r="V40" s="757"/>
      <c r="W40" s="757"/>
      <c r="X40" s="757"/>
      <c r="Y40" s="758"/>
      <c r="Z40" s="757"/>
      <c r="AA40" s="757"/>
      <c r="AB40" s="756"/>
      <c r="AC40" s="756"/>
      <c r="AD40" s="757"/>
      <c r="AE40" s="408"/>
      <c r="AF40" s="408"/>
      <c r="AG40" s="759"/>
      <c r="AH40" s="758"/>
      <c r="AI40" s="760"/>
      <c r="AJ40" s="760"/>
      <c r="AK40" s="727"/>
      <c r="AL40" s="727"/>
      <c r="AM40" s="727"/>
      <c r="AN40" s="727"/>
      <c r="AO40" s="727"/>
      <c r="AP40" s="761"/>
      <c r="AQ40" s="758"/>
      <c r="AR40" s="753"/>
      <c r="AS40" s="757"/>
      <c r="AT40" s="757"/>
      <c r="AU40" s="757"/>
      <c r="AV40" s="757"/>
      <c r="AW40" s="757"/>
      <c r="AX40" s="757"/>
      <c r="AY40" s="758"/>
      <c r="AZ40" s="758"/>
      <c r="BA40" s="758"/>
      <c r="BB40" s="758"/>
      <c r="BC40" s="758"/>
      <c r="BD40" s="762"/>
      <c r="BE40" s="379"/>
      <c r="BF40" s="753"/>
      <c r="BG40" s="379"/>
      <c r="BH40" s="637"/>
      <c r="BP40" s="467"/>
      <c r="BT40" s="859" t="s">
        <v>1195</v>
      </c>
      <c r="BU40" s="860" t="s">
        <v>1196</v>
      </c>
      <c r="CA40" s="859" t="s">
        <v>1228</v>
      </c>
    </row>
    <row r="41" spans="1:81" ht="30" customHeight="1" x14ac:dyDescent="0.35">
      <c r="A41" s="763" t="s">
        <v>961</v>
      </c>
      <c r="B41" s="408"/>
      <c r="C41" s="755"/>
      <c r="D41" s="754"/>
      <c r="E41" s="379"/>
      <c r="F41" s="408"/>
      <c r="G41" s="379"/>
      <c r="H41" s="408"/>
      <c r="I41" s="379"/>
      <c r="J41" s="379"/>
      <c r="K41" s="379"/>
      <c r="L41" s="756"/>
      <c r="M41" s="757"/>
      <c r="N41" s="408"/>
      <c r="O41" s="408"/>
      <c r="P41" s="408"/>
      <c r="Q41" s="408"/>
      <c r="R41" s="756"/>
      <c r="S41" s="408"/>
      <c r="T41" s="757"/>
      <c r="U41" s="757"/>
      <c r="V41" s="757"/>
      <c r="W41" s="757"/>
      <c r="X41" s="757"/>
      <c r="Y41" s="758"/>
      <c r="Z41" s="757"/>
      <c r="AA41" s="757"/>
      <c r="AB41" s="756"/>
      <c r="AC41" s="756"/>
      <c r="AD41" s="757"/>
      <c r="AE41" s="408"/>
      <c r="AF41" s="408"/>
      <c r="AG41" s="759"/>
      <c r="AH41" s="758"/>
      <c r="AI41" s="760"/>
      <c r="AJ41" s="760"/>
      <c r="AK41" s="727"/>
      <c r="AL41" s="727"/>
      <c r="AM41" s="727"/>
      <c r="AN41" s="727"/>
      <c r="AO41" s="727"/>
      <c r="AP41" s="761"/>
      <c r="AQ41" s="758"/>
      <c r="AR41" s="753"/>
      <c r="AS41" s="757"/>
      <c r="AT41" s="757"/>
      <c r="AU41" s="757"/>
      <c r="AV41" s="757"/>
      <c r="AW41" s="757"/>
      <c r="AX41" s="757"/>
      <c r="AY41" s="758"/>
      <c r="AZ41" s="758"/>
      <c r="BA41" s="758"/>
      <c r="BB41" s="758"/>
      <c r="BC41" s="758"/>
      <c r="BD41" s="762"/>
      <c r="BE41" s="379"/>
      <c r="BF41" s="753"/>
      <c r="BG41" s="379"/>
      <c r="BH41" s="637"/>
      <c r="BP41" s="467"/>
      <c r="BT41" s="862">
        <f>BT37</f>
        <v>70377.099999999991</v>
      </c>
      <c r="BU41" s="727">
        <v>103406.62</v>
      </c>
      <c r="BV41" s="861"/>
      <c r="CA41" s="985">
        <f>CA37</f>
        <v>81440.98</v>
      </c>
    </row>
    <row r="42" spans="1:81" ht="18" x14ac:dyDescent="0.35">
      <c r="A42" s="764" t="s">
        <v>962</v>
      </c>
      <c r="B42" s="408"/>
      <c r="C42" s="755"/>
      <c r="D42" s="754"/>
      <c r="E42" s="379"/>
      <c r="F42" s="408"/>
      <c r="G42" s="379"/>
      <c r="H42" s="408"/>
      <c r="I42" s="379"/>
      <c r="J42" s="379"/>
      <c r="K42" s="379"/>
      <c r="L42" s="756"/>
      <c r="M42" s="757"/>
      <c r="N42" s="408"/>
      <c r="O42" s="408"/>
      <c r="P42" s="408"/>
      <c r="Q42" s="408"/>
      <c r="R42" s="756"/>
      <c r="S42" s="408"/>
      <c r="T42" s="757"/>
      <c r="U42" s="757"/>
      <c r="V42" s="757"/>
      <c r="W42" s="757"/>
      <c r="X42" s="757"/>
      <c r="Y42" s="758"/>
      <c r="Z42" s="757"/>
      <c r="AA42" s="757"/>
      <c r="AB42" s="756"/>
      <c r="AC42" s="756"/>
      <c r="AD42" s="757"/>
      <c r="AE42" s="408"/>
      <c r="AF42" s="408"/>
      <c r="AG42" s="759"/>
      <c r="AH42" s="758"/>
      <c r="AI42" s="760"/>
      <c r="AJ42" s="760"/>
      <c r="AK42" s="727"/>
      <c r="AL42" s="727"/>
      <c r="AM42" s="727"/>
      <c r="AN42" s="727"/>
      <c r="AO42" s="727"/>
      <c r="AP42" s="761"/>
      <c r="AQ42" s="758"/>
      <c r="AR42" s="727"/>
      <c r="AS42" s="757"/>
      <c r="AT42" s="757"/>
      <c r="AU42" s="757"/>
      <c r="AV42" s="757"/>
      <c r="AW42" s="765"/>
      <c r="AX42" s="757"/>
      <c r="AY42" s="414"/>
      <c r="AZ42" s="414"/>
      <c r="BA42" s="414"/>
      <c r="BB42" s="758"/>
      <c r="BC42" s="758"/>
      <c r="BD42" s="762"/>
      <c r="BE42" s="379"/>
      <c r="BF42" s="753"/>
      <c r="BG42" s="379"/>
      <c r="BH42" s="637"/>
      <c r="BP42" s="467"/>
      <c r="BT42" s="863"/>
      <c r="BU42" s="860">
        <v>385</v>
      </c>
      <c r="BV42" s="864"/>
    </row>
    <row r="43" spans="1:81" ht="18" x14ac:dyDescent="0.35">
      <c r="A43" s="763" t="s">
        <v>963</v>
      </c>
      <c r="B43" s="408"/>
      <c r="C43" s="755"/>
      <c r="D43" s="754"/>
      <c r="E43" s="379"/>
      <c r="F43" s="408"/>
      <c r="G43" s="379"/>
      <c r="H43" s="408"/>
      <c r="I43" s="379"/>
      <c r="J43" s="379"/>
      <c r="K43" s="379"/>
      <c r="L43" s="756"/>
      <c r="M43" s="757"/>
      <c r="N43" s="408"/>
      <c r="O43" s="408"/>
      <c r="P43" s="408"/>
      <c r="Q43" s="408"/>
      <c r="R43" s="756"/>
      <c r="S43" s="408"/>
      <c r="T43" s="757"/>
      <c r="U43" s="757"/>
      <c r="V43" s="757"/>
      <c r="W43" s="757"/>
      <c r="X43" s="757"/>
      <c r="Y43" s="758"/>
      <c r="Z43" s="757"/>
      <c r="AA43" s="757"/>
      <c r="AB43" s="756"/>
      <c r="AC43" s="756"/>
      <c r="AD43" s="757"/>
      <c r="AE43" s="408"/>
      <c r="AF43" s="408"/>
      <c r="AG43" s="759"/>
      <c r="AH43" s="758"/>
      <c r="AI43" s="760"/>
      <c r="AJ43" s="760"/>
      <c r="AK43" s="727"/>
      <c r="AL43" s="727"/>
      <c r="AM43" s="727"/>
      <c r="AN43" s="727"/>
      <c r="AO43" s="727"/>
      <c r="AP43" s="761"/>
      <c r="AQ43" s="758"/>
      <c r="AR43" s="727"/>
      <c r="AS43" s="757"/>
      <c r="AT43" s="757"/>
      <c r="AU43" s="757"/>
      <c r="AV43" s="757"/>
      <c r="AW43" s="757"/>
      <c r="AX43" s="757"/>
      <c r="AY43" s="758"/>
      <c r="AZ43" s="758"/>
      <c r="BA43" s="758"/>
      <c r="BB43" s="758"/>
      <c r="BC43" s="758"/>
      <c r="BD43" s="762"/>
      <c r="BE43" s="379"/>
      <c r="BF43" s="753"/>
      <c r="BG43" s="379"/>
      <c r="BH43" s="637"/>
      <c r="BP43" s="467"/>
      <c r="BT43" s="865">
        <v>76491.5</v>
      </c>
      <c r="BU43" s="860">
        <v>25000</v>
      </c>
      <c r="BV43" s="864"/>
      <c r="CA43" s="984">
        <f>'Current Account'!AK184</f>
        <v>18681.7</v>
      </c>
    </row>
    <row r="44" spans="1:81" ht="18" x14ac:dyDescent="0.35">
      <c r="A44" s="763" t="s">
        <v>1352</v>
      </c>
      <c r="B44" s="408"/>
      <c r="C44" s="755"/>
      <c r="D44" s="754"/>
      <c r="E44" s="379"/>
      <c r="F44" s="408"/>
      <c r="G44" s="379"/>
      <c r="H44" s="408"/>
      <c r="I44" s="379"/>
      <c r="J44" s="379"/>
      <c r="K44" s="379"/>
      <c r="L44" s="756"/>
      <c r="M44" s="757"/>
      <c r="N44" s="408"/>
      <c r="O44" s="408"/>
      <c r="P44" s="408"/>
      <c r="Q44" s="408"/>
      <c r="R44" s="756"/>
      <c r="S44" s="408"/>
      <c r="T44" s="757"/>
      <c r="U44" s="757"/>
      <c r="V44" s="757"/>
      <c r="W44" s="757"/>
      <c r="X44" s="757"/>
      <c r="Y44" s="758"/>
      <c r="Z44" s="757"/>
      <c r="AA44" s="757"/>
      <c r="AB44" s="756"/>
      <c r="AC44" s="756"/>
      <c r="AD44" s="757"/>
      <c r="AE44" s="408"/>
      <c r="AF44" s="408"/>
      <c r="AG44" s="759"/>
      <c r="AH44" s="758"/>
      <c r="AI44" s="760"/>
      <c r="AJ44" s="760"/>
      <c r="AK44" s="727"/>
      <c r="AL44" s="727"/>
      <c r="AM44" s="727"/>
      <c r="AN44" s="727"/>
      <c r="AO44" s="727"/>
      <c r="AP44" s="761"/>
      <c r="AQ44" s="758"/>
      <c r="AR44" s="727"/>
      <c r="AS44" s="757"/>
      <c r="AT44" s="757"/>
      <c r="AU44" s="757"/>
      <c r="AV44" s="757"/>
      <c r="AW44" s="757"/>
      <c r="AX44" s="757"/>
      <c r="AY44" s="758"/>
      <c r="AZ44" s="758"/>
      <c r="BA44" s="758"/>
      <c r="BB44" s="758"/>
      <c r="BC44" s="758"/>
      <c r="BD44" s="762"/>
      <c r="BE44" s="379"/>
      <c r="BF44" s="753"/>
      <c r="BG44" s="379"/>
      <c r="BH44" s="637"/>
      <c r="BP44" s="467"/>
      <c r="BT44" s="865"/>
      <c r="BU44" s="860"/>
      <c r="BV44" s="864"/>
      <c r="CA44" s="984">
        <f>'Current Account'!AL184</f>
        <v>705</v>
      </c>
    </row>
    <row r="45" spans="1:81" ht="18" x14ac:dyDescent="0.35">
      <c r="A45" s="763" t="s">
        <v>1353</v>
      </c>
      <c r="B45" s="766"/>
      <c r="C45" s="767"/>
      <c r="D45" s="635"/>
      <c r="E45" s="379"/>
      <c r="F45" s="379"/>
      <c r="G45" s="379"/>
      <c r="H45" s="379"/>
      <c r="I45" s="379"/>
      <c r="J45" s="379"/>
      <c r="K45" s="379"/>
      <c r="L45" s="584"/>
      <c r="M45" s="551"/>
      <c r="N45" s="756"/>
      <c r="O45" s="379"/>
      <c r="P45" s="379"/>
      <c r="Q45" s="379"/>
      <c r="R45" s="756"/>
      <c r="S45" s="408"/>
      <c r="T45" s="757"/>
      <c r="U45" s="757"/>
      <c r="V45" s="757"/>
      <c r="W45" s="551"/>
      <c r="X45" s="551"/>
      <c r="Y45" s="768"/>
      <c r="Z45" s="551"/>
      <c r="AA45" s="551"/>
      <c r="AB45" s="584"/>
      <c r="AC45" s="584"/>
      <c r="AD45" s="379"/>
      <c r="AE45" s="769" t="s">
        <v>31</v>
      </c>
      <c r="AF45" s="408"/>
      <c r="AG45" s="759"/>
      <c r="AH45" s="768"/>
      <c r="AI45" s="770"/>
      <c r="AJ45" s="771"/>
      <c r="AK45" s="750"/>
      <c r="AL45" s="753"/>
      <c r="AM45" s="753"/>
      <c r="AN45" s="753"/>
      <c r="AO45" s="753"/>
      <c r="AP45" s="772"/>
      <c r="AQ45" s="768"/>
      <c r="AR45" s="727"/>
      <c r="AS45" s="773"/>
      <c r="AT45" s="773"/>
      <c r="AU45" s="773"/>
      <c r="AV45" s="773"/>
      <c r="AW45" s="773"/>
      <c r="AX45" s="773"/>
      <c r="AY45" s="768"/>
      <c r="AZ45" s="768"/>
      <c r="BA45" s="768"/>
      <c r="BB45" s="768"/>
      <c r="BC45" s="768"/>
      <c r="BD45" s="774"/>
      <c r="BE45" s="379"/>
      <c r="BF45" s="753"/>
      <c r="BG45" s="379"/>
      <c r="BH45" s="637"/>
      <c r="BP45" s="467"/>
      <c r="BT45" s="865">
        <v>1485</v>
      </c>
      <c r="BU45" s="860">
        <v>4000</v>
      </c>
      <c r="BV45" s="864"/>
      <c r="CA45" s="984">
        <f>'Current Account'!AM184</f>
        <v>6000</v>
      </c>
    </row>
    <row r="46" spans="1:81" ht="48" thickBot="1" x14ac:dyDescent="0.4">
      <c r="A46" s="741" t="s">
        <v>964</v>
      </c>
      <c r="B46" s="755"/>
      <c r="C46" s="775"/>
      <c r="D46" s="755"/>
      <c r="E46" s="584"/>
      <c r="F46" s="584"/>
      <c r="G46" s="584"/>
      <c r="H46" s="584"/>
      <c r="I46" s="584"/>
      <c r="J46" s="584"/>
      <c r="K46" s="584"/>
      <c r="L46" s="584"/>
      <c r="M46" s="768"/>
      <c r="N46" s="584"/>
      <c r="O46" s="584"/>
      <c r="P46" s="584"/>
      <c r="Q46" s="584"/>
      <c r="R46" s="584"/>
      <c r="S46" s="584"/>
      <c r="T46" s="768"/>
      <c r="U46" s="768"/>
      <c r="V46" s="768"/>
      <c r="W46" s="768"/>
      <c r="X46" s="768"/>
      <c r="Y46" s="768"/>
      <c r="Z46" s="768"/>
      <c r="AA46" s="768"/>
      <c r="AB46" s="584"/>
      <c r="AC46" s="584"/>
      <c r="AD46" s="776"/>
      <c r="AE46" s="777">
        <v>1365</v>
      </c>
      <c r="AF46" s="584"/>
      <c r="AG46" s="778"/>
      <c r="AH46" s="768"/>
      <c r="AI46" s="770"/>
      <c r="AJ46" s="771"/>
      <c r="AK46" s="750"/>
      <c r="AL46" s="753"/>
      <c r="AM46" s="753"/>
      <c r="AN46" s="753"/>
      <c r="AO46" s="753"/>
      <c r="AP46" s="772"/>
      <c r="AQ46" s="768"/>
      <c r="AR46" s="753"/>
      <c r="AS46" s="779"/>
      <c r="AT46" s="779"/>
      <c r="AU46" s="779"/>
      <c r="AV46" s="779"/>
      <c r="AW46" s="779"/>
      <c r="AX46" s="779"/>
      <c r="AY46" s="768"/>
      <c r="AZ46" s="768"/>
      <c r="BA46" s="768"/>
      <c r="BB46" s="768"/>
      <c r="BC46" s="768"/>
      <c r="BD46" s="774"/>
      <c r="BE46" s="584"/>
      <c r="BF46" s="753"/>
      <c r="BG46" s="584"/>
      <c r="BH46" s="750"/>
      <c r="BI46" s="780"/>
      <c r="BJ46" s="780"/>
      <c r="BK46" s="778"/>
      <c r="BL46" s="584"/>
      <c r="BM46" s="781"/>
      <c r="BP46" s="778"/>
      <c r="BQ46" s="782"/>
      <c r="BR46" s="584"/>
      <c r="BS46" s="584"/>
      <c r="BT46" s="866">
        <f>BT37+BT43+BT45</f>
        <v>148353.59999999998</v>
      </c>
      <c r="BU46" s="867">
        <f>SUM(BU41:BU45)</f>
        <v>132791.62</v>
      </c>
      <c r="BV46" s="861"/>
      <c r="CA46" s="986">
        <f>SUM(CA41:CA45)</f>
        <v>106827.68</v>
      </c>
    </row>
    <row r="47" spans="1:81" ht="30" customHeight="1" thickTop="1" x14ac:dyDescent="0.35">
      <c r="A47" s="19" t="s">
        <v>55</v>
      </c>
      <c r="B47" s="92"/>
      <c r="D47" s="92"/>
      <c r="AD47" s="6"/>
      <c r="AE47" s="94">
        <v>774.17</v>
      </c>
    </row>
    <row r="48" spans="1:81" ht="30" customHeight="1" x14ac:dyDescent="0.35">
      <c r="A48" s="19"/>
      <c r="B48" s="92"/>
      <c r="C48" s="299"/>
      <c r="D48" s="92"/>
      <c r="AD48" s="6"/>
      <c r="AE48" s="95"/>
    </row>
    <row r="49" spans="1:102" ht="30" customHeight="1" x14ac:dyDescent="0.35">
      <c r="A49" s="19"/>
      <c r="B49" s="92"/>
      <c r="C49" s="299"/>
      <c r="D49" s="92"/>
      <c r="AD49" s="6"/>
      <c r="AE49" s="95"/>
    </row>
    <row r="50" spans="1:102" ht="30" customHeight="1" x14ac:dyDescent="0.35">
      <c r="A50" s="19"/>
      <c r="B50" s="299"/>
      <c r="C50" s="289" t="s">
        <v>55</v>
      </c>
      <c r="D50" s="19"/>
      <c r="AD50" s="6"/>
      <c r="AE50" s="96">
        <v>34.51</v>
      </c>
    </row>
    <row r="51" spans="1:102" ht="30" customHeight="1" x14ac:dyDescent="0.35">
      <c r="A51" s="19" t="s">
        <v>55</v>
      </c>
      <c r="B51" s="19"/>
      <c r="C51" s="289"/>
      <c r="D51" s="19"/>
      <c r="AD51" s="6"/>
      <c r="AE51" s="95"/>
    </row>
    <row r="58" spans="1:102" ht="30" customHeight="1" x14ac:dyDescent="0.3">
      <c r="AY58"/>
      <c r="AZ58"/>
      <c r="BA58"/>
      <c r="BB58"/>
      <c r="BC58"/>
      <c r="BD58" s="302"/>
      <c r="CL58" s="165" t="s">
        <v>34</v>
      </c>
      <c r="CM58" s="165" t="s">
        <v>36</v>
      </c>
      <c r="CN58" s="165"/>
      <c r="CO58" s="165"/>
      <c r="CP58" s="165"/>
      <c r="CQ58" s="165"/>
      <c r="CR58" s="11" t="s">
        <v>42</v>
      </c>
      <c r="CS58" s="850"/>
      <c r="CT58" s="11" t="s">
        <v>82</v>
      </c>
      <c r="CU58" s="11" t="s">
        <v>50</v>
      </c>
      <c r="CV58" s="185" t="s">
        <v>154</v>
      </c>
      <c r="CW58" s="185" t="s">
        <v>177</v>
      </c>
      <c r="CX58" s="185" t="s">
        <v>211</v>
      </c>
    </row>
    <row r="59" spans="1:102" ht="30" customHeight="1" x14ac:dyDescent="0.3">
      <c r="AY59" s="172" t="s">
        <v>139</v>
      </c>
      <c r="AZ59" s="172"/>
      <c r="BA59" s="172"/>
      <c r="BB59" s="172"/>
      <c r="BC59" s="172"/>
      <c r="BD59" s="204"/>
      <c r="CL59" s="170">
        <v>1560</v>
      </c>
      <c r="CM59" s="171"/>
      <c r="CN59" s="168"/>
      <c r="CO59" s="168"/>
      <c r="CP59" s="168"/>
      <c r="CQ59" s="167"/>
      <c r="CR59" s="167">
        <v>620</v>
      </c>
      <c r="CS59" s="851"/>
      <c r="CT59" s="167">
        <v>210</v>
      </c>
      <c r="CU59" s="169">
        <v>0</v>
      </c>
      <c r="CV59" s="186">
        <v>0</v>
      </c>
      <c r="CW59" s="186">
        <v>0</v>
      </c>
      <c r="CX59" s="186">
        <v>0</v>
      </c>
    </row>
    <row r="60" spans="1:102" ht="30" customHeight="1" x14ac:dyDescent="0.3">
      <c r="AY60" s="172" t="s">
        <v>140</v>
      </c>
      <c r="AZ60" s="172"/>
      <c r="BA60" s="172"/>
      <c r="BB60" s="172"/>
      <c r="BC60" s="172"/>
      <c r="BD60" s="204"/>
      <c r="CL60" s="94">
        <v>795.95</v>
      </c>
      <c r="CM60" s="95"/>
      <c r="CN60" s="95"/>
      <c r="CO60" s="95"/>
      <c r="CP60" s="95"/>
      <c r="CQ60" s="303"/>
      <c r="CR60" s="303">
        <v>802.94</v>
      </c>
      <c r="CS60" s="852"/>
      <c r="CT60" s="303">
        <v>806.37</v>
      </c>
      <c r="CU60" s="29">
        <v>815.91</v>
      </c>
      <c r="CV60" s="187"/>
      <c r="CW60" s="187"/>
      <c r="CX60" s="187"/>
    </row>
    <row r="61" spans="1:102" ht="30" customHeight="1" x14ac:dyDescent="0.3">
      <c r="AY61" s="172"/>
      <c r="AZ61" s="172"/>
      <c r="BA61" s="172"/>
      <c r="BB61" s="172"/>
      <c r="BC61" s="172"/>
      <c r="BD61" s="204"/>
      <c r="CL61" s="95"/>
      <c r="CM61" s="95"/>
      <c r="CN61" s="95"/>
      <c r="CO61" s="95"/>
      <c r="CP61" s="95"/>
      <c r="CQ61" s="303"/>
      <c r="CR61" s="303"/>
      <c r="CS61" s="852"/>
      <c r="CT61" s="303"/>
      <c r="CU61" s="29"/>
      <c r="CV61" s="187"/>
      <c r="CW61" s="187"/>
      <c r="CX61" s="187"/>
    </row>
    <row r="62" spans="1:102" ht="30" customHeight="1" x14ac:dyDescent="0.3">
      <c r="AY62" s="172" t="s">
        <v>138</v>
      </c>
      <c r="AZ62" s="172"/>
      <c r="BA62" s="172"/>
      <c r="BB62" s="172"/>
      <c r="BC62" s="172"/>
      <c r="BD62" s="204"/>
      <c r="CL62" s="167">
        <v>34.51</v>
      </c>
      <c r="CM62" s="168"/>
      <c r="CN62" s="168"/>
      <c r="CO62" s="168"/>
      <c r="CP62" s="168"/>
      <c r="CQ62" s="167"/>
      <c r="CR62" s="167">
        <v>62.31</v>
      </c>
      <c r="CS62" s="851"/>
      <c r="CT62" s="167">
        <v>69.790000000000006</v>
      </c>
      <c r="CU62" s="169">
        <v>72.23</v>
      </c>
      <c r="CV62" s="186"/>
      <c r="CW62" s="186"/>
      <c r="CX62" s="186"/>
    </row>
    <row r="63" spans="1:102" ht="30" customHeight="1" x14ac:dyDescent="0.3">
      <c r="AY63" s="304" t="s">
        <v>148</v>
      </c>
      <c r="AZ63" s="304"/>
      <c r="BA63" s="304"/>
      <c r="BB63" s="304"/>
      <c r="BC63" s="304"/>
      <c r="BD63" s="204"/>
      <c r="CL63" s="168">
        <f>CL62*CL60</f>
        <v>27468.234499999999</v>
      </c>
      <c r="CM63" s="166"/>
      <c r="CN63" s="95"/>
      <c r="CO63" s="95"/>
      <c r="CP63" s="95"/>
      <c r="CQ63" s="95"/>
      <c r="CR63" s="305">
        <v>50035</v>
      </c>
      <c r="CS63" s="853"/>
      <c r="CT63" s="305">
        <v>56280</v>
      </c>
      <c r="CU63" s="29">
        <v>58937</v>
      </c>
      <c r="CV63" s="187">
        <v>62000</v>
      </c>
      <c r="CW63" s="187">
        <v>63770</v>
      </c>
      <c r="CX63" s="187"/>
    </row>
    <row r="64" spans="1:102" ht="30" customHeight="1" thickBot="1" x14ac:dyDescent="0.35">
      <c r="AY64" s="256"/>
      <c r="AZ64" s="256"/>
      <c r="BA64" s="256"/>
      <c r="BB64" s="256"/>
      <c r="BC64" s="256"/>
      <c r="BD64" s="204"/>
      <c r="CL64" s="306">
        <f>CL59+CL63</f>
        <v>29028.234499999999</v>
      </c>
      <c r="CM64" s="306">
        <f>CM59+CM63</f>
        <v>0</v>
      </c>
      <c r="CN64" s="306"/>
      <c r="CO64" s="306"/>
      <c r="CP64" s="306"/>
      <c r="CQ64" s="306"/>
      <c r="CR64" s="306">
        <f>CR59+CR63</f>
        <v>50655</v>
      </c>
      <c r="CS64" s="854"/>
      <c r="CT64" s="306">
        <f>CT59+CT63</f>
        <v>56490</v>
      </c>
      <c r="CU64" s="11">
        <v>58937</v>
      </c>
      <c r="CV64" s="185">
        <v>62000</v>
      </c>
      <c r="CW64" s="185">
        <v>63770</v>
      </c>
      <c r="CX64" s="185"/>
    </row>
  </sheetData>
  <mergeCells count="1">
    <mergeCell ref="BP5:BP7"/>
  </mergeCells>
  <phoneticPr fontId="47" type="noConversion"/>
  <pageMargins left="0.70866141732283472" right="0.70866141732283472" top="0.74803149606299213" bottom="0.74803149606299213" header="0.31496062992125984" footer="0.31496062992125984"/>
  <pageSetup paperSize="9" scale="45" orientation="portrait" horizontalDpi="4294967293" verticalDpi="4294967293"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201"/>
  <sheetViews>
    <sheetView zoomScaleNormal="100" workbookViewId="0">
      <pane xSplit="10" ySplit="2" topLeftCell="AK179" activePane="bottomRight" state="frozen"/>
      <selection pane="topRight" activeCell="K1" sqref="K1"/>
      <selection pane="bottomLeft" activeCell="A3" sqref="A3"/>
      <selection pane="bottomRight" activeCell="AM8" sqref="AM8"/>
    </sheetView>
  </sheetViews>
  <sheetFormatPr defaultRowHeight="15.6" x14ac:dyDescent="0.3"/>
  <cols>
    <col min="1" max="1" width="2.77734375" customWidth="1"/>
    <col min="2" max="2" width="13.5546875" customWidth="1"/>
    <col min="3" max="3" width="13.109375" customWidth="1"/>
    <col min="4" max="4" width="37.109375" customWidth="1"/>
    <col min="5" max="5" width="13.44140625" style="6" bestFit="1" customWidth="1"/>
    <col min="6" max="6" width="14.77734375" style="149" customWidth="1"/>
    <col min="7" max="7" width="16.21875" customWidth="1"/>
    <col min="8" max="8" width="16" customWidth="1"/>
    <col min="9" max="9" width="14.33203125" customWidth="1"/>
    <col min="10" max="10" width="3.77734375" customWidth="1"/>
    <col min="11" max="11" width="15.44140625" style="379" customWidth="1"/>
    <col min="12" max="12" width="15.44140625" style="964" customWidth="1"/>
    <col min="13" max="51" width="15.44140625" style="379" customWidth="1"/>
    <col min="52" max="52" width="15.44140625" customWidth="1"/>
    <col min="53" max="53" width="10.109375" bestFit="1" customWidth="1"/>
    <col min="54" max="54" width="9.109375" customWidth="1"/>
    <col min="55" max="55" width="10.109375" style="121" bestFit="1" customWidth="1"/>
  </cols>
  <sheetData>
    <row r="1" spans="1:52" x14ac:dyDescent="0.3">
      <c r="B1" s="584" t="s">
        <v>912</v>
      </c>
      <c r="C1" s="379"/>
      <c r="D1" s="880" t="s">
        <v>888</v>
      </c>
      <c r="E1" s="881"/>
      <c r="F1" s="882" t="s">
        <v>55</v>
      </c>
      <c r="G1" s="881"/>
      <c r="H1" s="379"/>
      <c r="I1" s="100">
        <v>15006.08</v>
      </c>
      <c r="K1" s="907"/>
      <c r="L1" s="907"/>
      <c r="M1" s="883"/>
      <c r="N1" s="883"/>
      <c r="O1" s="883"/>
      <c r="P1" s="883"/>
      <c r="Q1" s="883"/>
      <c r="R1" s="883"/>
      <c r="S1" s="883"/>
      <c r="T1" s="883"/>
      <c r="U1" s="883"/>
      <c r="V1" s="883"/>
      <c r="W1" s="883"/>
      <c r="X1" s="883"/>
      <c r="Y1" s="883"/>
      <c r="Z1" s="883"/>
      <c r="AA1" s="883"/>
      <c r="AB1" s="883"/>
      <c r="AC1" s="883"/>
      <c r="AD1" s="883" t="s">
        <v>128</v>
      </c>
      <c r="AE1" s="883"/>
      <c r="AF1" s="883">
        <v>12740.28</v>
      </c>
      <c r="AG1" s="883"/>
      <c r="AH1" s="883"/>
      <c r="AI1" s="883"/>
      <c r="AJ1" s="908"/>
      <c r="AK1" s="908"/>
      <c r="AL1" s="908"/>
      <c r="AM1" s="909"/>
      <c r="AN1" s="909"/>
      <c r="AO1" s="909"/>
      <c r="AP1" s="909"/>
      <c r="AQ1" s="909"/>
      <c r="AR1" s="910"/>
      <c r="AS1" s="910"/>
      <c r="AT1" s="910"/>
      <c r="AU1" s="909"/>
      <c r="AV1" s="909"/>
      <c r="AW1" s="909"/>
      <c r="AX1" s="909"/>
      <c r="AY1" s="909"/>
      <c r="AZ1" s="101"/>
    </row>
    <row r="2" spans="1:52" s="104" customFormat="1" ht="62.4" x14ac:dyDescent="0.3">
      <c r="B2" s="884" t="s">
        <v>84</v>
      </c>
      <c r="C2" s="885" t="s">
        <v>85</v>
      </c>
      <c r="D2" s="886" t="s">
        <v>86</v>
      </c>
      <c r="E2" s="887" t="s">
        <v>83</v>
      </c>
      <c r="F2" s="888" t="s">
        <v>141</v>
      </c>
      <c r="G2" s="889" t="s">
        <v>87</v>
      </c>
      <c r="H2" s="889" t="s">
        <v>88</v>
      </c>
      <c r="I2" s="889" t="s">
        <v>89</v>
      </c>
      <c r="J2" s="102"/>
      <c r="K2" s="911" t="s">
        <v>90</v>
      </c>
      <c r="L2" s="912" t="s">
        <v>91</v>
      </c>
      <c r="M2" s="913" t="s">
        <v>92</v>
      </c>
      <c r="N2" s="914" t="s">
        <v>255</v>
      </c>
      <c r="O2" s="912" t="s">
        <v>93</v>
      </c>
      <c r="P2" s="915" t="s">
        <v>119</v>
      </c>
      <c r="Q2" s="915" t="s">
        <v>157</v>
      </c>
      <c r="R2" s="916" t="s">
        <v>94</v>
      </c>
      <c r="S2" s="915" t="s">
        <v>130</v>
      </c>
      <c r="T2" s="915" t="s">
        <v>195</v>
      </c>
      <c r="U2" s="915" t="s">
        <v>666</v>
      </c>
      <c r="V2" s="915" t="s">
        <v>667</v>
      </c>
      <c r="W2" s="917" t="s">
        <v>95</v>
      </c>
      <c r="X2" s="917" t="s">
        <v>59</v>
      </c>
      <c r="Y2" s="913" t="s">
        <v>96</v>
      </c>
      <c r="Z2" s="913" t="s">
        <v>97</v>
      </c>
      <c r="AA2" s="913" t="s">
        <v>65</v>
      </c>
      <c r="AB2" s="913" t="s">
        <v>98</v>
      </c>
      <c r="AC2" s="886" t="s">
        <v>99</v>
      </c>
      <c r="AD2" s="914" t="s">
        <v>129</v>
      </c>
      <c r="AE2" s="918" t="s">
        <v>1232</v>
      </c>
      <c r="AF2" s="918" t="s">
        <v>100</v>
      </c>
      <c r="AG2" s="918" t="s">
        <v>101</v>
      </c>
      <c r="AH2" s="912" t="s">
        <v>102</v>
      </c>
      <c r="AI2" s="919" t="s">
        <v>893</v>
      </c>
      <c r="AJ2" s="912" t="s">
        <v>159</v>
      </c>
      <c r="AK2" s="920" t="s">
        <v>1026</v>
      </c>
      <c r="AL2" s="920" t="s">
        <v>1359</v>
      </c>
      <c r="AM2" s="920" t="s">
        <v>1360</v>
      </c>
      <c r="AN2" s="920" t="s">
        <v>286</v>
      </c>
      <c r="AO2" s="921" t="s">
        <v>287</v>
      </c>
      <c r="AP2" s="922" t="s">
        <v>103</v>
      </c>
      <c r="AQ2" s="922" t="s">
        <v>1015</v>
      </c>
      <c r="AR2" s="923" t="s">
        <v>668</v>
      </c>
      <c r="AS2" s="923" t="s">
        <v>663</v>
      </c>
      <c r="AT2" s="923" t="s">
        <v>681</v>
      </c>
      <c r="AU2" s="922" t="s">
        <v>298</v>
      </c>
      <c r="AV2" s="922" t="s">
        <v>664</v>
      </c>
      <c r="AW2" s="922" t="s">
        <v>297</v>
      </c>
      <c r="AX2" s="924" t="s">
        <v>807</v>
      </c>
      <c r="AY2" s="925" t="s">
        <v>296</v>
      </c>
    </row>
    <row r="3" spans="1:52" s="160" customFormat="1" x14ac:dyDescent="0.3">
      <c r="A3" s="160">
        <v>1</v>
      </c>
      <c r="B3" s="890">
        <v>45750</v>
      </c>
      <c r="C3" s="891">
        <v>0</v>
      </c>
      <c r="D3" s="892" t="s">
        <v>889</v>
      </c>
      <c r="E3" s="893" t="s">
        <v>914</v>
      </c>
      <c r="F3" s="894">
        <v>1453.26</v>
      </c>
      <c r="G3" s="895"/>
      <c r="H3" s="895"/>
      <c r="I3" s="896">
        <f>I1-G3+H3</f>
        <v>15006.08</v>
      </c>
      <c r="J3" s="422"/>
      <c r="K3" s="896">
        <f t="shared" ref="K3:K183" si="0">SUM(L3:AY3)</f>
        <v>1453.26</v>
      </c>
      <c r="L3" s="926">
        <v>0</v>
      </c>
      <c r="M3" s="902"/>
      <c r="N3" s="927"/>
      <c r="O3" s="926">
        <v>1238.06</v>
      </c>
      <c r="P3" s="926"/>
      <c r="Q3" s="926"/>
      <c r="R3" s="926"/>
      <c r="S3" s="926"/>
      <c r="T3" s="926"/>
      <c r="U3" s="926"/>
      <c r="V3" s="926"/>
      <c r="W3" s="926"/>
      <c r="X3" s="926"/>
      <c r="Y3" s="927"/>
      <c r="Z3" s="927"/>
      <c r="AA3" s="927"/>
      <c r="AB3" s="927"/>
      <c r="AC3" s="927"/>
      <c r="AD3" s="927"/>
      <c r="AE3" s="927"/>
      <c r="AF3" s="928"/>
      <c r="AG3" s="928"/>
      <c r="AH3" s="926"/>
      <c r="AI3" s="926"/>
      <c r="AJ3" s="926"/>
      <c r="AK3" s="929"/>
      <c r="AL3" s="929"/>
      <c r="AM3" s="929"/>
      <c r="AN3" s="929">
        <v>215.2</v>
      </c>
      <c r="AO3" s="929"/>
      <c r="AP3" s="930"/>
      <c r="AQ3" s="930"/>
      <c r="AR3" s="930"/>
      <c r="AS3" s="930"/>
      <c r="AT3" s="930"/>
      <c r="AU3" s="930"/>
      <c r="AV3" s="930"/>
      <c r="AW3" s="929"/>
      <c r="AX3" s="931"/>
      <c r="AY3" s="932"/>
    </row>
    <row r="4" spans="1:52" s="160" customFormat="1" x14ac:dyDescent="0.3">
      <c r="B4" s="890">
        <v>45750</v>
      </c>
      <c r="C4" s="891"/>
      <c r="D4" s="892" t="s">
        <v>925</v>
      </c>
      <c r="E4" s="893" t="s">
        <v>914</v>
      </c>
      <c r="F4" s="894">
        <v>47.36</v>
      </c>
      <c r="G4" s="897">
        <f>SUM(F3:F4)</f>
        <v>1500.62</v>
      </c>
      <c r="H4" s="895"/>
      <c r="I4" s="898">
        <f>I3-G4+H4</f>
        <v>13505.46</v>
      </c>
      <c r="J4" s="422"/>
      <c r="K4" s="896">
        <f t="shared" si="0"/>
        <v>47.36</v>
      </c>
      <c r="L4" s="926">
        <v>2.06</v>
      </c>
      <c r="M4" s="902"/>
      <c r="N4" s="927"/>
      <c r="O4" s="926"/>
      <c r="P4" s="926"/>
      <c r="Q4" s="926"/>
      <c r="R4" s="926">
        <v>45.3</v>
      </c>
      <c r="S4" s="926"/>
      <c r="T4" s="926"/>
      <c r="U4" s="926"/>
      <c r="V4" s="926"/>
      <c r="W4" s="926"/>
      <c r="X4" s="926"/>
      <c r="Y4" s="927"/>
      <c r="Z4" s="927"/>
      <c r="AA4" s="927"/>
      <c r="AB4" s="927"/>
      <c r="AC4" s="927"/>
      <c r="AD4" s="927"/>
      <c r="AE4" s="927"/>
      <c r="AF4" s="928"/>
      <c r="AG4" s="928"/>
      <c r="AH4" s="926"/>
      <c r="AI4" s="926"/>
      <c r="AJ4" s="926"/>
      <c r="AK4" s="929"/>
      <c r="AL4" s="929"/>
      <c r="AM4" s="929"/>
      <c r="AN4" s="929"/>
      <c r="AO4" s="929"/>
      <c r="AP4" s="930"/>
      <c r="AQ4" s="930"/>
      <c r="AR4" s="930"/>
      <c r="AS4" s="930"/>
      <c r="AT4" s="930"/>
      <c r="AU4" s="930"/>
      <c r="AV4" s="930"/>
      <c r="AW4" s="929"/>
      <c r="AX4" s="931"/>
      <c r="AY4" s="932"/>
    </row>
    <row r="5" spans="1:52" s="160" customFormat="1" x14ac:dyDescent="0.3">
      <c r="A5" s="160">
        <v>2</v>
      </c>
      <c r="B5" s="890">
        <v>45750</v>
      </c>
      <c r="C5" s="891">
        <v>0</v>
      </c>
      <c r="D5" s="892" t="s">
        <v>890</v>
      </c>
      <c r="E5" s="887" t="s">
        <v>915</v>
      </c>
      <c r="F5" s="894">
        <v>133.65</v>
      </c>
      <c r="G5" s="897">
        <v>133.65</v>
      </c>
      <c r="H5" s="895"/>
      <c r="I5" s="898">
        <f>I4-G5+H5</f>
        <v>13371.81</v>
      </c>
      <c r="J5" s="422"/>
      <c r="K5" s="896">
        <f t="shared" si="0"/>
        <v>133.65</v>
      </c>
      <c r="L5" s="926">
        <v>0</v>
      </c>
      <c r="M5" s="902"/>
      <c r="N5" s="927"/>
      <c r="O5" s="926"/>
      <c r="P5" s="926"/>
      <c r="Q5" s="926"/>
      <c r="R5" s="926"/>
      <c r="S5" s="926"/>
      <c r="T5" s="926"/>
      <c r="U5" s="926"/>
      <c r="V5" s="926"/>
      <c r="W5" s="926"/>
      <c r="X5" s="926"/>
      <c r="Y5" s="927"/>
      <c r="Z5" s="927"/>
      <c r="AA5" s="927"/>
      <c r="AB5" s="927"/>
      <c r="AC5" s="927"/>
      <c r="AD5" s="927"/>
      <c r="AE5" s="927"/>
      <c r="AF5" s="928"/>
      <c r="AG5" s="928"/>
      <c r="AH5" s="926"/>
      <c r="AI5" s="926"/>
      <c r="AJ5" s="926"/>
      <c r="AK5" s="929"/>
      <c r="AL5" s="929"/>
      <c r="AM5" s="929"/>
      <c r="AN5" s="929"/>
      <c r="AO5" s="929">
        <v>133.65</v>
      </c>
      <c r="AP5" s="930"/>
      <c r="AQ5" s="930"/>
      <c r="AR5" s="930"/>
      <c r="AS5" s="930"/>
      <c r="AT5" s="930"/>
      <c r="AU5" s="930"/>
      <c r="AV5" s="930"/>
      <c r="AW5" s="929"/>
      <c r="AX5" s="931"/>
      <c r="AY5" s="932"/>
    </row>
    <row r="6" spans="1:52" s="160" customFormat="1" x14ac:dyDescent="0.3">
      <c r="A6" s="160">
        <v>3</v>
      </c>
      <c r="B6" s="890">
        <v>45750</v>
      </c>
      <c r="C6" s="891">
        <v>0</v>
      </c>
      <c r="D6" s="892" t="s">
        <v>891</v>
      </c>
      <c r="E6" s="887" t="s">
        <v>916</v>
      </c>
      <c r="F6" s="894">
        <v>397.58</v>
      </c>
      <c r="G6" s="897">
        <v>397.58</v>
      </c>
      <c r="H6" s="895"/>
      <c r="I6" s="898">
        <f>I5-G6+H6</f>
        <v>12974.23</v>
      </c>
      <c r="J6" s="422"/>
      <c r="K6" s="896">
        <f t="shared" si="0"/>
        <v>397.58</v>
      </c>
      <c r="L6" s="926">
        <v>0</v>
      </c>
      <c r="M6" s="902"/>
      <c r="N6" s="927"/>
      <c r="O6" s="926">
        <v>168.49</v>
      </c>
      <c r="P6" s="926"/>
      <c r="Q6" s="926">
        <v>195.69</v>
      </c>
      <c r="R6" s="926"/>
      <c r="S6" s="926"/>
      <c r="T6" s="926"/>
      <c r="U6" s="926"/>
      <c r="V6" s="926"/>
      <c r="W6" s="926"/>
      <c r="X6" s="926"/>
      <c r="Y6" s="927"/>
      <c r="Z6" s="927"/>
      <c r="AA6" s="927"/>
      <c r="AB6" s="927"/>
      <c r="AC6" s="927"/>
      <c r="AD6" s="927"/>
      <c r="AE6" s="927"/>
      <c r="AF6" s="928"/>
      <c r="AG6" s="928"/>
      <c r="AH6" s="926"/>
      <c r="AI6" s="926"/>
      <c r="AJ6" s="926"/>
      <c r="AK6" s="929"/>
      <c r="AL6" s="929"/>
      <c r="AM6" s="929"/>
      <c r="AN6" s="929"/>
      <c r="AO6" s="929">
        <v>33.4</v>
      </c>
      <c r="AP6" s="930"/>
      <c r="AQ6" s="930"/>
      <c r="AR6" s="930"/>
      <c r="AS6" s="930"/>
      <c r="AT6" s="930"/>
      <c r="AU6" s="930"/>
      <c r="AV6" s="930"/>
      <c r="AW6" s="929"/>
      <c r="AX6" s="931"/>
      <c r="AY6" s="932"/>
    </row>
    <row r="7" spans="1:52" s="160" customFormat="1" x14ac:dyDescent="0.3">
      <c r="B7" s="890">
        <v>45750</v>
      </c>
      <c r="C7" s="891">
        <v>0</v>
      </c>
      <c r="D7" s="892" t="s">
        <v>927</v>
      </c>
      <c r="E7" s="887" t="s">
        <v>917</v>
      </c>
      <c r="F7" s="894">
        <v>483.77</v>
      </c>
      <c r="G7" s="897">
        <v>483.77</v>
      </c>
      <c r="H7" s="895"/>
      <c r="I7" s="898">
        <f t="shared" ref="I7:I183" si="1">I6-G7+H7</f>
        <v>12490.46</v>
      </c>
      <c r="J7" s="422"/>
      <c r="K7" s="896">
        <f t="shared" si="0"/>
        <v>483.77</v>
      </c>
      <c r="L7" s="926"/>
      <c r="M7" s="902"/>
      <c r="N7" s="927"/>
      <c r="O7" s="926">
        <v>99.85</v>
      </c>
      <c r="P7" s="926">
        <v>383.92</v>
      </c>
      <c r="Q7" s="926"/>
      <c r="R7" s="926"/>
      <c r="S7" s="926"/>
      <c r="T7" s="926"/>
      <c r="U7" s="926"/>
      <c r="V7" s="926"/>
      <c r="W7" s="926"/>
      <c r="X7" s="926"/>
      <c r="Y7" s="927"/>
      <c r="Z7" s="927"/>
      <c r="AA7" s="927"/>
      <c r="AB7" s="927"/>
      <c r="AC7" s="927"/>
      <c r="AD7" s="927"/>
      <c r="AE7" s="927"/>
      <c r="AF7" s="928"/>
      <c r="AG7" s="928"/>
      <c r="AH7" s="926"/>
      <c r="AI7" s="926"/>
      <c r="AJ7" s="926"/>
      <c r="AK7" s="929"/>
      <c r="AL7" s="929"/>
      <c r="AM7" s="929"/>
      <c r="AN7" s="929"/>
      <c r="AO7" s="929"/>
      <c r="AP7" s="930"/>
      <c r="AQ7" s="930"/>
      <c r="AR7" s="930"/>
      <c r="AS7" s="930"/>
      <c r="AT7" s="930"/>
      <c r="AU7" s="930"/>
      <c r="AV7" s="930"/>
      <c r="AW7" s="929"/>
      <c r="AX7" s="931"/>
      <c r="AY7" s="932"/>
    </row>
    <row r="8" spans="1:52" s="160" customFormat="1" x14ac:dyDescent="0.3">
      <c r="A8" s="160">
        <v>4</v>
      </c>
      <c r="B8" s="890">
        <v>45750</v>
      </c>
      <c r="C8" s="891">
        <v>0</v>
      </c>
      <c r="D8" s="892" t="s">
        <v>892</v>
      </c>
      <c r="E8" s="893" t="s">
        <v>918</v>
      </c>
      <c r="F8" s="894">
        <v>500</v>
      </c>
      <c r="G8" s="897">
        <v>500</v>
      </c>
      <c r="H8" s="895"/>
      <c r="I8" s="898">
        <f t="shared" si="1"/>
        <v>11990.46</v>
      </c>
      <c r="J8" s="422"/>
      <c r="K8" s="896">
        <f t="shared" si="0"/>
        <v>500</v>
      </c>
      <c r="L8" s="926">
        <v>0</v>
      </c>
      <c r="M8" s="902"/>
      <c r="N8" s="927"/>
      <c r="O8" s="926"/>
      <c r="P8" s="926"/>
      <c r="Q8" s="926"/>
      <c r="R8" s="926"/>
      <c r="S8" s="926"/>
      <c r="T8" s="926"/>
      <c r="U8" s="926"/>
      <c r="V8" s="926"/>
      <c r="W8" s="926"/>
      <c r="X8" s="926"/>
      <c r="Y8" s="927"/>
      <c r="Z8" s="927"/>
      <c r="AA8" s="927"/>
      <c r="AB8" s="927"/>
      <c r="AC8" s="927"/>
      <c r="AD8" s="927"/>
      <c r="AE8" s="927"/>
      <c r="AF8" s="928"/>
      <c r="AG8" s="928"/>
      <c r="AH8" s="926"/>
      <c r="AI8" s="926">
        <v>500</v>
      </c>
      <c r="AJ8" s="926"/>
      <c r="AK8" s="929"/>
      <c r="AL8" s="929"/>
      <c r="AM8" s="929"/>
      <c r="AN8" s="929"/>
      <c r="AO8" s="929"/>
      <c r="AP8" s="930"/>
      <c r="AQ8" s="930"/>
      <c r="AR8" s="930"/>
      <c r="AS8" s="930"/>
      <c r="AT8" s="930"/>
      <c r="AU8" s="930"/>
      <c r="AV8" s="930"/>
      <c r="AW8" s="929"/>
      <c r="AX8" s="931"/>
      <c r="AY8" s="932"/>
    </row>
    <row r="9" spans="1:52" s="160" customFormat="1" x14ac:dyDescent="0.3">
      <c r="A9" s="160">
        <v>5</v>
      </c>
      <c r="B9" s="890">
        <v>45750</v>
      </c>
      <c r="C9" s="891">
        <v>257767651</v>
      </c>
      <c r="D9" s="892" t="s">
        <v>894</v>
      </c>
      <c r="E9" s="887" t="s">
        <v>919</v>
      </c>
      <c r="F9" s="894">
        <v>170.4</v>
      </c>
      <c r="G9" s="897">
        <v>170.4</v>
      </c>
      <c r="H9" s="895"/>
      <c r="I9" s="898">
        <f t="shared" si="1"/>
        <v>11820.06</v>
      </c>
      <c r="J9" s="423"/>
      <c r="K9" s="896">
        <f t="shared" si="0"/>
        <v>170.4</v>
      </c>
      <c r="L9" s="926">
        <v>28.4</v>
      </c>
      <c r="M9" s="902"/>
      <c r="N9" s="927"/>
      <c r="O9" s="926"/>
      <c r="P9" s="926"/>
      <c r="Q9" s="926"/>
      <c r="R9" s="926"/>
      <c r="S9" s="926"/>
      <c r="T9" s="926"/>
      <c r="U9" s="926"/>
      <c r="V9" s="926"/>
      <c r="W9" s="926"/>
      <c r="X9" s="926"/>
      <c r="Y9" s="927"/>
      <c r="Z9" s="927"/>
      <c r="AA9" s="927"/>
      <c r="AB9" s="927"/>
      <c r="AC9" s="927"/>
      <c r="AD9" s="927"/>
      <c r="AE9" s="927"/>
      <c r="AF9" s="928"/>
      <c r="AG9" s="928"/>
      <c r="AH9" s="926"/>
      <c r="AI9" s="926"/>
      <c r="AJ9" s="926"/>
      <c r="AK9" s="929"/>
      <c r="AL9" s="929"/>
      <c r="AM9" s="929"/>
      <c r="AN9" s="929"/>
      <c r="AO9" s="929"/>
      <c r="AP9" s="930"/>
      <c r="AQ9" s="930"/>
      <c r="AR9" s="930"/>
      <c r="AS9" s="930"/>
      <c r="AT9" s="930">
        <v>142</v>
      </c>
      <c r="AU9" s="930"/>
      <c r="AV9" s="930"/>
      <c r="AW9" s="929"/>
      <c r="AX9" s="931"/>
      <c r="AY9" s="932"/>
    </row>
    <row r="10" spans="1:52" s="160" customFormat="1" x14ac:dyDescent="0.3">
      <c r="A10" s="160">
        <v>6</v>
      </c>
      <c r="B10" s="890">
        <v>45750</v>
      </c>
      <c r="C10" s="891">
        <v>156056022</v>
      </c>
      <c r="D10" s="892" t="s">
        <v>895</v>
      </c>
      <c r="E10" s="887" t="s">
        <v>920</v>
      </c>
      <c r="F10" s="894">
        <v>123</v>
      </c>
      <c r="G10" s="897">
        <v>123</v>
      </c>
      <c r="H10" s="895"/>
      <c r="I10" s="898">
        <f t="shared" si="1"/>
        <v>11697.06</v>
      </c>
      <c r="J10" s="423"/>
      <c r="K10" s="896">
        <f t="shared" si="0"/>
        <v>123</v>
      </c>
      <c r="L10" s="926">
        <v>20.5</v>
      </c>
      <c r="M10" s="902"/>
      <c r="N10" s="927"/>
      <c r="O10" s="926"/>
      <c r="P10" s="926"/>
      <c r="Q10" s="926"/>
      <c r="R10" s="926"/>
      <c r="S10" s="926"/>
      <c r="T10" s="926"/>
      <c r="U10" s="926"/>
      <c r="V10" s="926"/>
      <c r="W10" s="926"/>
      <c r="X10" s="926"/>
      <c r="Y10" s="927"/>
      <c r="Z10" s="927"/>
      <c r="AA10" s="927"/>
      <c r="AB10" s="927"/>
      <c r="AC10" s="927"/>
      <c r="AD10" s="927"/>
      <c r="AE10" s="927"/>
      <c r="AF10" s="928"/>
      <c r="AG10" s="928"/>
      <c r="AH10" s="926"/>
      <c r="AI10" s="926"/>
      <c r="AJ10" s="926"/>
      <c r="AK10" s="929"/>
      <c r="AL10" s="929"/>
      <c r="AM10" s="929"/>
      <c r="AN10" s="929"/>
      <c r="AO10" s="929"/>
      <c r="AP10" s="930"/>
      <c r="AQ10" s="930"/>
      <c r="AR10" s="930">
        <v>102.5</v>
      </c>
      <c r="AS10" s="930"/>
      <c r="AT10" s="930"/>
      <c r="AU10" s="930"/>
      <c r="AV10" s="930"/>
      <c r="AW10" s="929"/>
      <c r="AX10" s="931"/>
      <c r="AY10" s="932"/>
    </row>
    <row r="11" spans="1:52" s="160" customFormat="1" x14ac:dyDescent="0.3">
      <c r="A11" s="160">
        <v>7</v>
      </c>
      <c r="B11" s="890">
        <v>45750</v>
      </c>
      <c r="C11" s="891">
        <v>0</v>
      </c>
      <c r="D11" s="892" t="s">
        <v>913</v>
      </c>
      <c r="E11" s="887" t="s">
        <v>921</v>
      </c>
      <c r="F11" s="894">
        <v>907.97</v>
      </c>
      <c r="G11" s="897">
        <v>907.97</v>
      </c>
      <c r="H11" s="895"/>
      <c r="I11" s="898">
        <f t="shared" si="1"/>
        <v>10789.09</v>
      </c>
      <c r="J11" s="423"/>
      <c r="K11" s="896">
        <f t="shared" si="0"/>
        <v>907.97</v>
      </c>
      <c r="L11" s="926">
        <v>0</v>
      </c>
      <c r="M11" s="902"/>
      <c r="N11" s="927"/>
      <c r="O11" s="926"/>
      <c r="P11" s="926"/>
      <c r="Q11" s="926"/>
      <c r="R11" s="926"/>
      <c r="S11" s="926"/>
      <c r="T11" s="926"/>
      <c r="U11" s="926"/>
      <c r="V11" s="926"/>
      <c r="W11" s="926"/>
      <c r="X11" s="926"/>
      <c r="Y11" s="927"/>
      <c r="Z11" s="927"/>
      <c r="AA11" s="927">
        <v>907.97</v>
      </c>
      <c r="AB11" s="927"/>
      <c r="AC11" s="927"/>
      <c r="AD11" s="927"/>
      <c r="AE11" s="927"/>
      <c r="AF11" s="928"/>
      <c r="AG11" s="928"/>
      <c r="AH11" s="926"/>
      <c r="AI11" s="926"/>
      <c r="AJ11" s="926"/>
      <c r="AK11" s="929"/>
      <c r="AL11" s="929"/>
      <c r="AM11" s="929"/>
      <c r="AN11" s="929"/>
      <c r="AO11" s="929"/>
      <c r="AP11" s="930"/>
      <c r="AQ11" s="930"/>
      <c r="AR11" s="930"/>
      <c r="AS11" s="930"/>
      <c r="AT11" s="930"/>
      <c r="AU11" s="930"/>
      <c r="AV11" s="930"/>
      <c r="AW11" s="929"/>
      <c r="AX11" s="931"/>
      <c r="AY11" s="932"/>
    </row>
    <row r="12" spans="1:52" s="160" customFormat="1" x14ac:dyDescent="0.3">
      <c r="B12" s="890">
        <v>45778</v>
      </c>
      <c r="C12" s="891">
        <v>0</v>
      </c>
      <c r="D12" s="892" t="s">
        <v>948</v>
      </c>
      <c r="E12" s="887" t="s">
        <v>949</v>
      </c>
      <c r="F12" s="894"/>
      <c r="G12" s="895"/>
      <c r="H12" s="897">
        <v>25000</v>
      </c>
      <c r="I12" s="898">
        <f t="shared" si="1"/>
        <v>35789.089999999997</v>
      </c>
      <c r="J12" s="423"/>
      <c r="K12" s="896">
        <f t="shared" si="0"/>
        <v>0</v>
      </c>
      <c r="L12" s="926"/>
      <c r="M12" s="902"/>
      <c r="N12" s="927"/>
      <c r="O12" s="926"/>
      <c r="P12" s="926"/>
      <c r="Q12" s="926"/>
      <c r="R12" s="926"/>
      <c r="S12" s="926"/>
      <c r="T12" s="926"/>
      <c r="U12" s="926"/>
      <c r="V12" s="926"/>
      <c r="W12" s="926"/>
      <c r="X12" s="926"/>
      <c r="Y12" s="927"/>
      <c r="Z12" s="927"/>
      <c r="AA12" s="927"/>
      <c r="AB12" s="927"/>
      <c r="AC12" s="927"/>
      <c r="AD12" s="927"/>
      <c r="AE12" s="927"/>
      <c r="AF12" s="928"/>
      <c r="AG12" s="928"/>
      <c r="AH12" s="926"/>
      <c r="AI12" s="926"/>
      <c r="AJ12" s="926"/>
      <c r="AK12" s="929"/>
      <c r="AL12" s="929"/>
      <c r="AM12" s="929"/>
      <c r="AN12" s="929"/>
      <c r="AO12" s="929"/>
      <c r="AP12" s="930"/>
      <c r="AQ12" s="930"/>
      <c r="AR12" s="930"/>
      <c r="AS12" s="930"/>
      <c r="AT12" s="930"/>
      <c r="AU12" s="930"/>
      <c r="AV12" s="930"/>
      <c r="AW12" s="929"/>
      <c r="AX12" s="931"/>
      <c r="AY12" s="932"/>
    </row>
    <row r="13" spans="1:52" s="160" customFormat="1" x14ac:dyDescent="0.3">
      <c r="A13" s="160">
        <v>8</v>
      </c>
      <c r="B13" s="890">
        <v>45778</v>
      </c>
      <c r="C13" s="891">
        <v>0</v>
      </c>
      <c r="D13" s="892" t="s">
        <v>928</v>
      </c>
      <c r="E13" s="893" t="s">
        <v>922</v>
      </c>
      <c r="F13" s="894">
        <v>1453.26</v>
      </c>
      <c r="G13" s="895"/>
      <c r="H13" s="895"/>
      <c r="I13" s="898">
        <f t="shared" si="1"/>
        <v>35789.089999999997</v>
      </c>
      <c r="J13" s="423"/>
      <c r="K13" s="896">
        <f t="shared" si="0"/>
        <v>1453.26</v>
      </c>
      <c r="L13" s="926"/>
      <c r="M13" s="902"/>
      <c r="N13" s="927"/>
      <c r="O13" s="926">
        <v>1238.06</v>
      </c>
      <c r="P13" s="926"/>
      <c r="Q13" s="926"/>
      <c r="R13" s="926"/>
      <c r="S13" s="926"/>
      <c r="T13" s="926"/>
      <c r="U13" s="926"/>
      <c r="V13" s="926"/>
      <c r="W13" s="926"/>
      <c r="X13" s="926"/>
      <c r="Y13" s="927"/>
      <c r="Z13" s="927"/>
      <c r="AA13" s="927"/>
      <c r="AB13" s="927"/>
      <c r="AC13" s="927"/>
      <c r="AD13" s="927"/>
      <c r="AE13" s="927"/>
      <c r="AF13" s="928"/>
      <c r="AG13" s="928"/>
      <c r="AH13" s="926"/>
      <c r="AI13" s="926"/>
      <c r="AJ13" s="926"/>
      <c r="AK13" s="929"/>
      <c r="AL13" s="929"/>
      <c r="AM13" s="929"/>
      <c r="AN13" s="929">
        <v>215.2</v>
      </c>
      <c r="AO13" s="929"/>
      <c r="AP13" s="930"/>
      <c r="AQ13" s="930"/>
      <c r="AR13" s="930"/>
      <c r="AS13" s="930"/>
      <c r="AT13" s="930"/>
      <c r="AU13" s="930"/>
      <c r="AV13" s="930"/>
      <c r="AW13" s="929"/>
      <c r="AX13" s="931"/>
      <c r="AY13" s="932"/>
    </row>
    <row r="14" spans="1:52" s="160" customFormat="1" x14ac:dyDescent="0.3">
      <c r="A14" s="160">
        <v>9</v>
      </c>
      <c r="B14" s="890">
        <v>45778</v>
      </c>
      <c r="C14" s="891">
        <v>724594615</v>
      </c>
      <c r="D14" s="892" t="s">
        <v>929</v>
      </c>
      <c r="E14" s="887" t="s">
        <v>922</v>
      </c>
      <c r="F14" s="894">
        <v>47.36</v>
      </c>
      <c r="G14" s="895"/>
      <c r="H14" s="895"/>
      <c r="I14" s="898">
        <f t="shared" si="1"/>
        <v>35789.089999999997</v>
      </c>
      <c r="J14" s="423"/>
      <c r="K14" s="896">
        <f t="shared" si="0"/>
        <v>47.36</v>
      </c>
      <c r="L14" s="926">
        <v>2.06</v>
      </c>
      <c r="M14" s="902"/>
      <c r="N14" s="927"/>
      <c r="O14" s="926">
        <v>45.3</v>
      </c>
      <c r="P14" s="926"/>
      <c r="Q14" s="926"/>
      <c r="R14" s="926"/>
      <c r="S14" s="926"/>
      <c r="T14" s="926"/>
      <c r="U14" s="926"/>
      <c r="V14" s="926"/>
      <c r="W14" s="926"/>
      <c r="X14" s="926"/>
      <c r="Y14" s="927"/>
      <c r="Z14" s="927"/>
      <c r="AA14" s="927"/>
      <c r="AB14" s="927"/>
      <c r="AC14" s="927"/>
      <c r="AD14" s="927"/>
      <c r="AE14" s="927"/>
      <c r="AF14" s="928"/>
      <c r="AG14" s="928"/>
      <c r="AH14" s="926"/>
      <c r="AI14" s="926"/>
      <c r="AJ14" s="926"/>
      <c r="AK14" s="929"/>
      <c r="AL14" s="929"/>
      <c r="AM14" s="929"/>
      <c r="AN14" s="929"/>
      <c r="AO14" s="929"/>
      <c r="AP14" s="930"/>
      <c r="AQ14" s="930"/>
      <c r="AR14" s="930"/>
      <c r="AS14" s="930"/>
      <c r="AT14" s="930"/>
      <c r="AU14" s="930"/>
      <c r="AV14" s="930"/>
      <c r="AW14" s="929"/>
      <c r="AX14" s="931"/>
      <c r="AY14" s="932"/>
    </row>
    <row r="15" spans="1:52" s="160" customFormat="1" x14ac:dyDescent="0.3">
      <c r="B15" s="890">
        <v>45778</v>
      </c>
      <c r="C15" s="891">
        <v>220430231</v>
      </c>
      <c r="D15" s="892" t="s">
        <v>930</v>
      </c>
      <c r="E15" s="887" t="s">
        <v>922</v>
      </c>
      <c r="F15" s="894">
        <v>20.55</v>
      </c>
      <c r="G15" s="895"/>
      <c r="H15" s="895"/>
      <c r="I15" s="898">
        <f t="shared" si="1"/>
        <v>35789.089999999997</v>
      </c>
      <c r="J15" s="423"/>
      <c r="K15" s="896">
        <f t="shared" si="0"/>
        <v>20.55</v>
      </c>
      <c r="L15" s="926">
        <v>3.43</v>
      </c>
      <c r="M15" s="902"/>
      <c r="N15" s="927"/>
      <c r="O15" s="926">
        <v>17.12</v>
      </c>
      <c r="P15" s="926"/>
      <c r="Q15" s="926"/>
      <c r="R15" s="926"/>
      <c r="S15" s="926"/>
      <c r="T15" s="926"/>
      <c r="U15" s="926"/>
      <c r="V15" s="926"/>
      <c r="W15" s="926"/>
      <c r="X15" s="926"/>
      <c r="Y15" s="927"/>
      <c r="Z15" s="927"/>
      <c r="AA15" s="927"/>
      <c r="AB15" s="927"/>
      <c r="AC15" s="927"/>
      <c r="AD15" s="927"/>
      <c r="AE15" s="927"/>
      <c r="AF15" s="928"/>
      <c r="AG15" s="928"/>
      <c r="AH15" s="926"/>
      <c r="AI15" s="926"/>
      <c r="AJ15" s="926"/>
      <c r="AK15" s="929"/>
      <c r="AL15" s="929"/>
      <c r="AM15" s="929"/>
      <c r="AN15" s="929"/>
      <c r="AO15" s="929"/>
      <c r="AP15" s="930"/>
      <c r="AQ15" s="930"/>
      <c r="AR15" s="930"/>
      <c r="AS15" s="930"/>
      <c r="AT15" s="930"/>
      <c r="AU15" s="930"/>
      <c r="AV15" s="930"/>
      <c r="AW15" s="929"/>
      <c r="AX15" s="931"/>
      <c r="AY15" s="932"/>
    </row>
    <row r="16" spans="1:52" s="160" customFormat="1" x14ac:dyDescent="0.3">
      <c r="B16" s="890">
        <v>45778</v>
      </c>
      <c r="C16" s="891">
        <v>724594615</v>
      </c>
      <c r="D16" s="892" t="s">
        <v>950</v>
      </c>
      <c r="E16" s="887" t="s">
        <v>922</v>
      </c>
      <c r="F16" s="894">
        <v>19.989999999999998</v>
      </c>
      <c r="G16" s="897">
        <f>SUM(F13:F16)</f>
        <v>1541.1599999999999</v>
      </c>
      <c r="H16" s="895"/>
      <c r="I16" s="898">
        <f t="shared" si="1"/>
        <v>34247.929999999993</v>
      </c>
      <c r="J16" s="423"/>
      <c r="K16" s="896">
        <f t="shared" si="0"/>
        <v>19.990000000000002</v>
      </c>
      <c r="L16" s="926">
        <v>3.33</v>
      </c>
      <c r="M16" s="902"/>
      <c r="N16" s="927"/>
      <c r="O16" s="926"/>
      <c r="P16" s="926"/>
      <c r="Q16" s="926"/>
      <c r="R16" s="926">
        <v>16.66</v>
      </c>
      <c r="S16" s="926"/>
      <c r="T16" s="926"/>
      <c r="U16" s="926"/>
      <c r="V16" s="926"/>
      <c r="W16" s="926"/>
      <c r="X16" s="926"/>
      <c r="Y16" s="927"/>
      <c r="Z16" s="927"/>
      <c r="AA16" s="927"/>
      <c r="AB16" s="927"/>
      <c r="AC16" s="927"/>
      <c r="AD16" s="927"/>
      <c r="AE16" s="927"/>
      <c r="AF16" s="928"/>
      <c r="AG16" s="928"/>
      <c r="AH16" s="926"/>
      <c r="AI16" s="926"/>
      <c r="AJ16" s="926"/>
      <c r="AK16" s="929"/>
      <c r="AL16" s="929"/>
      <c r="AM16" s="929"/>
      <c r="AN16" s="929"/>
      <c r="AO16" s="929"/>
      <c r="AP16" s="930"/>
      <c r="AQ16" s="930"/>
      <c r="AR16" s="930"/>
      <c r="AS16" s="930"/>
      <c r="AT16" s="930"/>
      <c r="AU16" s="930"/>
      <c r="AV16" s="930"/>
      <c r="AW16" s="929"/>
      <c r="AX16" s="931"/>
      <c r="AY16" s="932"/>
    </row>
    <row r="17" spans="2:51" s="160" customFormat="1" x14ac:dyDescent="0.3">
      <c r="B17" s="890">
        <v>45778</v>
      </c>
      <c r="C17" s="891">
        <v>0</v>
      </c>
      <c r="D17" s="892" t="s">
        <v>931</v>
      </c>
      <c r="E17" s="887" t="s">
        <v>923</v>
      </c>
      <c r="F17" s="894">
        <v>133.65</v>
      </c>
      <c r="G17" s="897">
        <v>133.65</v>
      </c>
      <c r="H17" s="895"/>
      <c r="I17" s="898">
        <f t="shared" si="1"/>
        <v>34114.279999999992</v>
      </c>
      <c r="J17" s="423"/>
      <c r="K17" s="896">
        <f t="shared" si="0"/>
        <v>133.65</v>
      </c>
      <c r="L17" s="926">
        <v>0</v>
      </c>
      <c r="M17" s="902"/>
      <c r="N17" s="927"/>
      <c r="O17" s="926"/>
      <c r="P17" s="926"/>
      <c r="Q17" s="926"/>
      <c r="R17" s="926"/>
      <c r="S17" s="926"/>
      <c r="T17" s="926"/>
      <c r="U17" s="926"/>
      <c r="V17" s="926"/>
      <c r="W17" s="926"/>
      <c r="X17" s="926"/>
      <c r="Y17" s="927"/>
      <c r="Z17" s="927"/>
      <c r="AA17" s="927"/>
      <c r="AB17" s="927"/>
      <c r="AC17" s="927"/>
      <c r="AD17" s="927"/>
      <c r="AE17" s="927"/>
      <c r="AF17" s="928"/>
      <c r="AG17" s="928"/>
      <c r="AH17" s="926"/>
      <c r="AI17" s="926"/>
      <c r="AJ17" s="926"/>
      <c r="AK17" s="929"/>
      <c r="AL17" s="929"/>
      <c r="AM17" s="929"/>
      <c r="AN17" s="929"/>
      <c r="AO17" s="929">
        <v>133.65</v>
      </c>
      <c r="AP17" s="930"/>
      <c r="AQ17" s="930"/>
      <c r="AR17" s="930"/>
      <c r="AS17" s="930"/>
      <c r="AT17" s="930"/>
      <c r="AU17" s="930"/>
      <c r="AV17" s="930"/>
      <c r="AW17" s="929"/>
      <c r="AX17" s="931"/>
      <c r="AY17" s="932"/>
    </row>
    <row r="18" spans="2:51" s="160" customFormat="1" x14ac:dyDescent="0.3">
      <c r="B18" s="890">
        <v>45778</v>
      </c>
      <c r="C18" s="891">
        <v>0</v>
      </c>
      <c r="D18" s="892" t="s">
        <v>932</v>
      </c>
      <c r="E18" s="887" t="s">
        <v>924</v>
      </c>
      <c r="F18" s="894">
        <v>397.58</v>
      </c>
      <c r="G18" s="897">
        <v>397.58</v>
      </c>
      <c r="H18" s="895"/>
      <c r="I18" s="898">
        <f t="shared" si="1"/>
        <v>33716.69999999999</v>
      </c>
      <c r="J18" s="423"/>
      <c r="K18" s="896">
        <f t="shared" si="0"/>
        <v>397.58</v>
      </c>
      <c r="L18" s="926">
        <v>0</v>
      </c>
      <c r="M18" s="902"/>
      <c r="N18" s="927"/>
      <c r="O18" s="926">
        <v>168.49</v>
      </c>
      <c r="P18" s="926"/>
      <c r="Q18" s="926">
        <v>195.69</v>
      </c>
      <c r="R18" s="926"/>
      <c r="S18" s="926"/>
      <c r="T18" s="926"/>
      <c r="U18" s="926"/>
      <c r="V18" s="926"/>
      <c r="W18" s="926"/>
      <c r="X18" s="926"/>
      <c r="Y18" s="927"/>
      <c r="Z18" s="927"/>
      <c r="AA18" s="927"/>
      <c r="AB18" s="927"/>
      <c r="AC18" s="927"/>
      <c r="AD18" s="927"/>
      <c r="AE18" s="927"/>
      <c r="AF18" s="928"/>
      <c r="AG18" s="928"/>
      <c r="AH18" s="926"/>
      <c r="AI18" s="926"/>
      <c r="AJ18" s="926"/>
      <c r="AK18" s="929"/>
      <c r="AL18" s="929"/>
      <c r="AM18" s="929"/>
      <c r="AN18" s="929"/>
      <c r="AO18" s="929">
        <v>33.4</v>
      </c>
      <c r="AP18" s="930"/>
      <c r="AQ18" s="930"/>
      <c r="AR18" s="930"/>
      <c r="AS18" s="930"/>
      <c r="AT18" s="930"/>
      <c r="AU18" s="930"/>
      <c r="AV18" s="930"/>
      <c r="AW18" s="929"/>
      <c r="AX18" s="931"/>
      <c r="AY18" s="932"/>
    </row>
    <row r="19" spans="2:51" s="160" customFormat="1" x14ac:dyDescent="0.3">
      <c r="B19" s="890">
        <v>45778</v>
      </c>
      <c r="C19" s="891">
        <v>0</v>
      </c>
      <c r="D19" s="892" t="s">
        <v>933</v>
      </c>
      <c r="E19" s="887" t="s">
        <v>926</v>
      </c>
      <c r="F19" s="894">
        <v>483.77</v>
      </c>
      <c r="G19" s="897">
        <v>483.77</v>
      </c>
      <c r="H19" s="895"/>
      <c r="I19" s="898">
        <f t="shared" si="1"/>
        <v>33232.929999999993</v>
      </c>
      <c r="J19" s="423"/>
      <c r="K19" s="896">
        <f t="shared" si="0"/>
        <v>483.77</v>
      </c>
      <c r="L19" s="926">
        <v>0</v>
      </c>
      <c r="M19" s="902"/>
      <c r="N19" s="927"/>
      <c r="O19" s="926">
        <v>99.85</v>
      </c>
      <c r="P19" s="926">
        <v>383.92</v>
      </c>
      <c r="Q19" s="926"/>
      <c r="R19" s="926"/>
      <c r="S19" s="926"/>
      <c r="T19" s="926"/>
      <c r="U19" s="926"/>
      <c r="V19" s="926"/>
      <c r="W19" s="926"/>
      <c r="X19" s="926"/>
      <c r="Y19" s="927"/>
      <c r="Z19" s="927"/>
      <c r="AA19" s="927"/>
      <c r="AB19" s="927"/>
      <c r="AC19" s="927"/>
      <c r="AD19" s="927"/>
      <c r="AE19" s="927"/>
      <c r="AF19" s="928"/>
      <c r="AG19" s="928"/>
      <c r="AH19" s="926"/>
      <c r="AI19" s="926"/>
      <c r="AJ19" s="926"/>
      <c r="AK19" s="929"/>
      <c r="AL19" s="929"/>
      <c r="AM19" s="929"/>
      <c r="AN19" s="929"/>
      <c r="AO19" s="929"/>
      <c r="AP19" s="930"/>
      <c r="AQ19" s="930"/>
      <c r="AR19" s="930"/>
      <c r="AS19" s="930"/>
      <c r="AT19" s="930"/>
      <c r="AU19" s="930"/>
      <c r="AV19" s="930"/>
      <c r="AW19" s="929"/>
      <c r="AX19" s="931"/>
      <c r="AY19" s="932"/>
    </row>
    <row r="20" spans="2:51" s="160" customFormat="1" x14ac:dyDescent="0.3">
      <c r="B20" s="890">
        <v>45778</v>
      </c>
      <c r="C20" s="891">
        <v>0</v>
      </c>
      <c r="D20" s="892" t="s">
        <v>934</v>
      </c>
      <c r="E20" s="887" t="s">
        <v>935</v>
      </c>
      <c r="F20" s="894">
        <v>780.98</v>
      </c>
      <c r="G20" s="897">
        <v>780.98</v>
      </c>
      <c r="H20" s="895"/>
      <c r="I20" s="898">
        <f t="shared" si="1"/>
        <v>32451.949999999993</v>
      </c>
      <c r="J20" s="423"/>
      <c r="K20" s="896">
        <f t="shared" si="0"/>
        <v>780.98</v>
      </c>
      <c r="L20" s="926">
        <v>0</v>
      </c>
      <c r="M20" s="902">
        <v>780.98</v>
      </c>
      <c r="N20" s="927"/>
      <c r="O20" s="926"/>
      <c r="P20" s="926"/>
      <c r="Q20" s="926"/>
      <c r="R20" s="926"/>
      <c r="S20" s="926"/>
      <c r="T20" s="926"/>
      <c r="U20" s="926"/>
      <c r="V20" s="926"/>
      <c r="W20" s="926"/>
      <c r="X20" s="926"/>
      <c r="Y20" s="927"/>
      <c r="Z20" s="927"/>
      <c r="AA20" s="927"/>
      <c r="AB20" s="927"/>
      <c r="AC20" s="927"/>
      <c r="AD20" s="927"/>
      <c r="AE20" s="927"/>
      <c r="AF20" s="928"/>
      <c r="AG20" s="928"/>
      <c r="AH20" s="926"/>
      <c r="AI20" s="926"/>
      <c r="AJ20" s="926"/>
      <c r="AK20" s="929"/>
      <c r="AL20" s="929"/>
      <c r="AM20" s="929"/>
      <c r="AN20" s="929"/>
      <c r="AO20" s="929"/>
      <c r="AP20" s="930"/>
      <c r="AQ20" s="930"/>
      <c r="AR20" s="930"/>
      <c r="AS20" s="930"/>
      <c r="AT20" s="930"/>
      <c r="AU20" s="930"/>
      <c r="AV20" s="930"/>
      <c r="AW20" s="929"/>
      <c r="AX20" s="931"/>
      <c r="AY20" s="932"/>
    </row>
    <row r="21" spans="2:51" s="160" customFormat="1" x14ac:dyDescent="0.3">
      <c r="B21" s="890">
        <v>45778</v>
      </c>
      <c r="C21" s="891">
        <v>0</v>
      </c>
      <c r="D21" s="892" t="s">
        <v>936</v>
      </c>
      <c r="E21" s="887" t="s">
        <v>937</v>
      </c>
      <c r="F21" s="894">
        <v>120</v>
      </c>
      <c r="G21" s="897">
        <v>120</v>
      </c>
      <c r="H21" s="895"/>
      <c r="I21" s="898">
        <f t="shared" si="1"/>
        <v>32331.949999999993</v>
      </c>
      <c r="J21" s="423"/>
      <c r="K21" s="896">
        <f t="shared" si="0"/>
        <v>120</v>
      </c>
      <c r="L21" s="926">
        <v>0</v>
      </c>
      <c r="M21" s="902"/>
      <c r="N21" s="927"/>
      <c r="O21" s="926"/>
      <c r="P21" s="926"/>
      <c r="Q21" s="926"/>
      <c r="R21" s="926"/>
      <c r="S21" s="926"/>
      <c r="T21" s="926"/>
      <c r="U21" s="926"/>
      <c r="V21" s="926"/>
      <c r="W21" s="926"/>
      <c r="X21" s="926"/>
      <c r="Y21" s="927">
        <v>120</v>
      </c>
      <c r="Z21" s="927"/>
      <c r="AA21" s="927"/>
      <c r="AB21" s="927"/>
      <c r="AC21" s="927"/>
      <c r="AD21" s="927"/>
      <c r="AE21" s="927"/>
      <c r="AF21" s="928"/>
      <c r="AG21" s="928"/>
      <c r="AH21" s="926"/>
      <c r="AI21" s="926"/>
      <c r="AJ21" s="926"/>
      <c r="AK21" s="929"/>
      <c r="AL21" s="929"/>
      <c r="AM21" s="929"/>
      <c r="AN21" s="929"/>
      <c r="AO21" s="929"/>
      <c r="AP21" s="930"/>
      <c r="AQ21" s="930"/>
      <c r="AR21" s="930"/>
      <c r="AS21" s="930"/>
      <c r="AT21" s="930"/>
      <c r="AU21" s="930"/>
      <c r="AV21" s="930"/>
      <c r="AW21" s="929"/>
      <c r="AX21" s="931"/>
      <c r="AY21" s="932"/>
    </row>
    <row r="22" spans="2:51" s="160" customFormat="1" x14ac:dyDescent="0.3">
      <c r="B22" s="890">
        <v>45778</v>
      </c>
      <c r="C22" s="891">
        <v>131505120</v>
      </c>
      <c r="D22" s="892" t="s">
        <v>938</v>
      </c>
      <c r="E22" s="887" t="s">
        <v>939</v>
      </c>
      <c r="F22" s="894">
        <v>161.35</v>
      </c>
      <c r="G22" s="897">
        <v>161.35</v>
      </c>
      <c r="H22" s="895"/>
      <c r="I22" s="898">
        <f t="shared" si="1"/>
        <v>32170.599999999995</v>
      </c>
      <c r="J22" s="423"/>
      <c r="K22" s="896">
        <f t="shared" si="0"/>
        <v>161.35000000000002</v>
      </c>
      <c r="L22" s="926">
        <v>26.89</v>
      </c>
      <c r="M22" s="902"/>
      <c r="N22" s="927"/>
      <c r="O22" s="926"/>
      <c r="P22" s="926"/>
      <c r="Q22" s="926"/>
      <c r="R22" s="926"/>
      <c r="S22" s="926"/>
      <c r="T22" s="926"/>
      <c r="U22" s="926"/>
      <c r="V22" s="926"/>
      <c r="W22" s="926"/>
      <c r="X22" s="926"/>
      <c r="Y22" s="927"/>
      <c r="Z22" s="927"/>
      <c r="AA22" s="927"/>
      <c r="AB22" s="927"/>
      <c r="AC22" s="927"/>
      <c r="AD22" s="927"/>
      <c r="AE22" s="927"/>
      <c r="AF22" s="928"/>
      <c r="AG22" s="928"/>
      <c r="AH22" s="926"/>
      <c r="AI22" s="926"/>
      <c r="AJ22" s="926"/>
      <c r="AK22" s="929"/>
      <c r="AL22" s="929"/>
      <c r="AM22" s="929"/>
      <c r="AN22" s="929"/>
      <c r="AO22" s="929"/>
      <c r="AP22" s="930"/>
      <c r="AQ22" s="930"/>
      <c r="AR22" s="930"/>
      <c r="AS22" s="930"/>
      <c r="AT22" s="930"/>
      <c r="AU22" s="930"/>
      <c r="AV22" s="930"/>
      <c r="AW22" s="929">
        <v>134.46</v>
      </c>
      <c r="AX22" s="931"/>
      <c r="AY22" s="932"/>
    </row>
    <row r="23" spans="2:51" s="160" customFormat="1" x14ac:dyDescent="0.3">
      <c r="B23" s="890">
        <v>45778</v>
      </c>
      <c r="C23" s="891">
        <v>0</v>
      </c>
      <c r="D23" s="892" t="s">
        <v>940</v>
      </c>
      <c r="E23" s="887" t="s">
        <v>941</v>
      </c>
      <c r="F23" s="894">
        <v>260</v>
      </c>
      <c r="G23" s="897">
        <v>260</v>
      </c>
      <c r="H23" s="895"/>
      <c r="I23" s="898">
        <f t="shared" si="1"/>
        <v>31910.599999999995</v>
      </c>
      <c r="J23" s="423"/>
      <c r="K23" s="896">
        <f t="shared" si="0"/>
        <v>260</v>
      </c>
      <c r="L23" s="926">
        <v>0</v>
      </c>
      <c r="M23" s="902"/>
      <c r="N23" s="927"/>
      <c r="O23" s="926"/>
      <c r="P23" s="926"/>
      <c r="Q23" s="926"/>
      <c r="R23" s="926"/>
      <c r="S23" s="926"/>
      <c r="T23" s="926"/>
      <c r="U23" s="926"/>
      <c r="V23" s="926"/>
      <c r="W23" s="926"/>
      <c r="X23" s="926">
        <v>260</v>
      </c>
      <c r="Y23" s="927"/>
      <c r="Z23" s="927"/>
      <c r="AA23" s="927"/>
      <c r="AB23" s="927"/>
      <c r="AC23" s="927"/>
      <c r="AD23" s="927"/>
      <c r="AE23" s="927"/>
      <c r="AF23" s="928"/>
      <c r="AG23" s="928"/>
      <c r="AH23" s="926"/>
      <c r="AI23" s="926"/>
      <c r="AJ23" s="926"/>
      <c r="AK23" s="929"/>
      <c r="AL23" s="929"/>
      <c r="AM23" s="929"/>
      <c r="AN23" s="929"/>
      <c r="AO23" s="929"/>
      <c r="AP23" s="930"/>
      <c r="AQ23" s="930"/>
      <c r="AR23" s="930"/>
      <c r="AS23" s="930"/>
      <c r="AT23" s="930"/>
      <c r="AU23" s="930"/>
      <c r="AV23" s="930"/>
      <c r="AW23" s="929"/>
      <c r="AX23" s="931"/>
      <c r="AY23" s="932"/>
    </row>
    <row r="24" spans="2:51" s="160" customFormat="1" x14ac:dyDescent="0.3">
      <c r="B24" s="890">
        <v>45778</v>
      </c>
      <c r="C24" s="891">
        <v>0</v>
      </c>
      <c r="D24" s="892" t="s">
        <v>942</v>
      </c>
      <c r="E24" s="887" t="s">
        <v>943</v>
      </c>
      <c r="F24" s="894">
        <v>1970.07</v>
      </c>
      <c r="G24" s="897">
        <v>1970.07</v>
      </c>
      <c r="H24" s="895"/>
      <c r="I24" s="898">
        <f t="shared" si="1"/>
        <v>29940.529999999995</v>
      </c>
      <c r="J24" s="423"/>
      <c r="K24" s="896">
        <f t="shared" si="0"/>
        <v>1970.07</v>
      </c>
      <c r="L24" s="926">
        <v>0</v>
      </c>
      <c r="M24" s="902"/>
      <c r="N24" s="927"/>
      <c r="O24" s="926"/>
      <c r="P24" s="926"/>
      <c r="Q24" s="926"/>
      <c r="R24" s="926"/>
      <c r="S24" s="926"/>
      <c r="T24" s="926"/>
      <c r="U24" s="926"/>
      <c r="V24" s="926"/>
      <c r="W24" s="926"/>
      <c r="X24" s="926"/>
      <c r="Y24" s="927"/>
      <c r="Z24" s="927">
        <v>591.02</v>
      </c>
      <c r="AA24" s="927"/>
      <c r="AB24" s="927"/>
      <c r="AC24" s="927"/>
      <c r="AD24" s="927"/>
      <c r="AE24" s="927"/>
      <c r="AF24" s="928"/>
      <c r="AG24" s="928"/>
      <c r="AH24" s="926"/>
      <c r="AI24" s="926"/>
      <c r="AJ24" s="926"/>
      <c r="AK24" s="929"/>
      <c r="AL24" s="929"/>
      <c r="AM24" s="929"/>
      <c r="AN24" s="929"/>
      <c r="AO24" s="929"/>
      <c r="AP24" s="930"/>
      <c r="AQ24" s="930"/>
      <c r="AR24" s="930"/>
      <c r="AS24" s="930"/>
      <c r="AT24" s="930"/>
      <c r="AU24" s="930">
        <v>1379.05</v>
      </c>
      <c r="AV24" s="930"/>
      <c r="AW24" s="929"/>
      <c r="AX24" s="931"/>
      <c r="AY24" s="932"/>
    </row>
    <row r="25" spans="2:51" s="160" customFormat="1" x14ac:dyDescent="0.3">
      <c r="B25" s="890">
        <v>45778</v>
      </c>
      <c r="C25" s="891"/>
      <c r="D25" s="892" t="s">
        <v>946</v>
      </c>
      <c r="E25" s="887" t="s">
        <v>947</v>
      </c>
      <c r="F25" s="894">
        <v>5000</v>
      </c>
      <c r="G25" s="897">
        <v>5000</v>
      </c>
      <c r="H25" s="895"/>
      <c r="I25" s="898">
        <f t="shared" si="1"/>
        <v>24940.529999999995</v>
      </c>
      <c r="J25" s="423"/>
      <c r="K25" s="896">
        <f t="shared" si="0"/>
        <v>5000</v>
      </c>
      <c r="L25" s="926">
        <v>0</v>
      </c>
      <c r="M25" s="902"/>
      <c r="N25" s="927"/>
      <c r="O25" s="926"/>
      <c r="P25" s="926"/>
      <c r="Q25" s="926"/>
      <c r="R25" s="926"/>
      <c r="S25" s="926"/>
      <c r="T25" s="926"/>
      <c r="U25" s="926"/>
      <c r="V25" s="926"/>
      <c r="W25" s="926"/>
      <c r="X25" s="926"/>
      <c r="Y25" s="927"/>
      <c r="Z25" s="927"/>
      <c r="AA25" s="927"/>
      <c r="AB25" s="927"/>
      <c r="AC25" s="927">
        <v>1000</v>
      </c>
      <c r="AD25" s="927"/>
      <c r="AE25" s="927"/>
      <c r="AF25" s="928"/>
      <c r="AG25" s="928"/>
      <c r="AH25" s="926"/>
      <c r="AI25" s="926"/>
      <c r="AJ25" s="926"/>
      <c r="AK25" s="929"/>
      <c r="AL25" s="929"/>
      <c r="AM25" s="929">
        <v>4000</v>
      </c>
      <c r="AN25" s="929"/>
      <c r="AO25" s="929"/>
      <c r="AP25" s="930"/>
      <c r="AQ25" s="930"/>
      <c r="AR25" s="930"/>
      <c r="AS25" s="930"/>
      <c r="AT25" s="930"/>
      <c r="AU25" s="930"/>
      <c r="AV25" s="930"/>
      <c r="AW25" s="929"/>
      <c r="AX25" s="931"/>
      <c r="AY25" s="932"/>
    </row>
    <row r="26" spans="2:51" s="160" customFormat="1" x14ac:dyDescent="0.3">
      <c r="B26" s="890">
        <v>45791</v>
      </c>
      <c r="C26" s="891">
        <v>0</v>
      </c>
      <c r="D26" s="892" t="s">
        <v>944</v>
      </c>
      <c r="E26" s="887" t="s">
        <v>945</v>
      </c>
      <c r="F26" s="894">
        <v>10359.69</v>
      </c>
      <c r="G26" s="897">
        <v>10359.69</v>
      </c>
      <c r="H26" s="895"/>
      <c r="I26" s="898">
        <f t="shared" si="1"/>
        <v>14580.839999999995</v>
      </c>
      <c r="J26" s="423"/>
      <c r="K26" s="896">
        <f t="shared" si="0"/>
        <v>10359.689999999999</v>
      </c>
      <c r="L26" s="926">
        <v>0</v>
      </c>
      <c r="M26" s="902"/>
      <c r="N26" s="927"/>
      <c r="O26" s="926"/>
      <c r="P26" s="926"/>
      <c r="Q26" s="926"/>
      <c r="R26" s="926"/>
      <c r="S26" s="926"/>
      <c r="T26" s="926"/>
      <c r="U26" s="926">
        <v>3859.7</v>
      </c>
      <c r="V26" s="926">
        <v>6499.99</v>
      </c>
      <c r="W26" s="926"/>
      <c r="X26" s="926"/>
      <c r="Y26" s="927"/>
      <c r="Z26" s="927"/>
      <c r="AA26" s="927"/>
      <c r="AB26" s="927"/>
      <c r="AC26" s="927"/>
      <c r="AD26" s="927"/>
      <c r="AE26" s="927"/>
      <c r="AF26" s="928"/>
      <c r="AG26" s="928"/>
      <c r="AH26" s="926"/>
      <c r="AI26" s="926"/>
      <c r="AJ26" s="926"/>
      <c r="AK26" s="929"/>
      <c r="AL26" s="929"/>
      <c r="AM26" s="929"/>
      <c r="AN26" s="929"/>
      <c r="AO26" s="929"/>
      <c r="AP26" s="930"/>
      <c r="AQ26" s="930"/>
      <c r="AR26" s="930"/>
      <c r="AS26" s="930"/>
      <c r="AT26" s="930"/>
      <c r="AU26" s="930"/>
      <c r="AV26" s="930"/>
      <c r="AW26" s="929"/>
      <c r="AX26" s="931"/>
      <c r="AY26" s="932"/>
    </row>
    <row r="27" spans="2:51" s="160" customFormat="1" x14ac:dyDescent="0.3">
      <c r="B27" s="890">
        <v>45763</v>
      </c>
      <c r="C27" s="891">
        <v>245719348</v>
      </c>
      <c r="D27" s="892" t="s">
        <v>977</v>
      </c>
      <c r="E27" s="887" t="s">
        <v>978</v>
      </c>
      <c r="F27" s="894">
        <v>25.43</v>
      </c>
      <c r="G27" s="897">
        <v>25.43</v>
      </c>
      <c r="H27" s="895"/>
      <c r="I27" s="898">
        <f t="shared" si="1"/>
        <v>14555.409999999994</v>
      </c>
      <c r="J27" s="423"/>
      <c r="K27" s="896">
        <f t="shared" si="0"/>
        <v>25.43</v>
      </c>
      <c r="L27" s="926">
        <v>4.24</v>
      </c>
      <c r="M27" s="902"/>
      <c r="N27" s="927"/>
      <c r="O27" s="926"/>
      <c r="P27" s="926"/>
      <c r="Q27" s="926"/>
      <c r="R27" s="926"/>
      <c r="S27" s="926"/>
      <c r="T27" s="926"/>
      <c r="U27" s="926"/>
      <c r="V27" s="926"/>
      <c r="W27" s="926"/>
      <c r="X27" s="926"/>
      <c r="Y27" s="927"/>
      <c r="Z27" s="927"/>
      <c r="AA27" s="927"/>
      <c r="AB27" s="927"/>
      <c r="AC27" s="927"/>
      <c r="AD27" s="927"/>
      <c r="AE27" s="927"/>
      <c r="AF27" s="928"/>
      <c r="AG27" s="928"/>
      <c r="AH27" s="926"/>
      <c r="AI27" s="926"/>
      <c r="AJ27" s="926"/>
      <c r="AK27" s="929"/>
      <c r="AL27" s="929"/>
      <c r="AM27" s="929"/>
      <c r="AN27" s="929"/>
      <c r="AO27" s="929"/>
      <c r="AP27" s="930"/>
      <c r="AQ27" s="930"/>
      <c r="AR27" s="930"/>
      <c r="AS27" s="930"/>
      <c r="AT27" s="930"/>
      <c r="AU27" s="930"/>
      <c r="AV27" s="930"/>
      <c r="AW27" s="929"/>
      <c r="AX27" s="931"/>
      <c r="AY27" s="932">
        <v>21.19</v>
      </c>
    </row>
    <row r="28" spans="2:51" s="160" customFormat="1" x14ac:dyDescent="0.3">
      <c r="B28" s="890">
        <v>45775</v>
      </c>
      <c r="C28" s="891">
        <v>0</v>
      </c>
      <c r="D28" s="892" t="s">
        <v>979</v>
      </c>
      <c r="E28" s="887" t="s">
        <v>980</v>
      </c>
      <c r="F28" s="894">
        <v>4.25</v>
      </c>
      <c r="G28" s="897">
        <v>4.25</v>
      </c>
      <c r="H28" s="895"/>
      <c r="I28" s="898">
        <f t="shared" si="1"/>
        <v>14551.159999999994</v>
      </c>
      <c r="J28" s="423"/>
      <c r="K28" s="896">
        <f t="shared" si="0"/>
        <v>4.25</v>
      </c>
      <c r="L28" s="926">
        <v>0</v>
      </c>
      <c r="M28" s="902"/>
      <c r="N28" s="927"/>
      <c r="O28" s="926"/>
      <c r="P28" s="926"/>
      <c r="Q28" s="926"/>
      <c r="R28" s="926"/>
      <c r="S28" s="926"/>
      <c r="T28" s="926">
        <v>4.25</v>
      </c>
      <c r="U28" s="926"/>
      <c r="V28" s="926"/>
      <c r="W28" s="926"/>
      <c r="X28" s="926"/>
      <c r="Y28" s="927"/>
      <c r="Z28" s="927"/>
      <c r="AA28" s="927"/>
      <c r="AB28" s="927"/>
      <c r="AC28" s="927"/>
      <c r="AD28" s="927"/>
      <c r="AE28" s="927"/>
      <c r="AF28" s="928"/>
      <c r="AG28" s="928"/>
      <c r="AH28" s="926"/>
      <c r="AI28" s="926"/>
      <c r="AJ28" s="926"/>
      <c r="AK28" s="929"/>
      <c r="AL28" s="929"/>
      <c r="AM28" s="929"/>
      <c r="AN28" s="929"/>
      <c r="AO28" s="929"/>
      <c r="AP28" s="930"/>
      <c r="AQ28" s="930"/>
      <c r="AR28" s="930"/>
      <c r="AS28" s="930"/>
      <c r="AT28" s="930"/>
      <c r="AU28" s="930"/>
      <c r="AV28" s="930"/>
      <c r="AW28" s="929"/>
      <c r="AX28" s="931"/>
      <c r="AY28" s="932"/>
    </row>
    <row r="29" spans="2:51" s="160" customFormat="1" x14ac:dyDescent="0.3">
      <c r="B29" s="890">
        <v>45793</v>
      </c>
      <c r="C29" s="891">
        <v>245719348</v>
      </c>
      <c r="D29" s="892" t="s">
        <v>981</v>
      </c>
      <c r="E29" s="887" t="s">
        <v>982</v>
      </c>
      <c r="F29" s="894">
        <v>25.43</v>
      </c>
      <c r="G29" s="897">
        <v>25.43</v>
      </c>
      <c r="H29" s="895"/>
      <c r="I29" s="898">
        <f t="shared" si="1"/>
        <v>14525.729999999994</v>
      </c>
      <c r="J29" s="423"/>
      <c r="K29" s="896">
        <f t="shared" si="0"/>
        <v>25.43</v>
      </c>
      <c r="L29" s="926">
        <v>4.24</v>
      </c>
      <c r="M29" s="902"/>
      <c r="N29" s="927"/>
      <c r="O29" s="926"/>
      <c r="P29" s="926"/>
      <c r="Q29" s="926"/>
      <c r="R29" s="926"/>
      <c r="S29" s="926"/>
      <c r="T29" s="926"/>
      <c r="U29" s="926"/>
      <c r="V29" s="926"/>
      <c r="W29" s="926"/>
      <c r="X29" s="926"/>
      <c r="Y29" s="927"/>
      <c r="Z29" s="927"/>
      <c r="AA29" s="927"/>
      <c r="AB29" s="927"/>
      <c r="AC29" s="927"/>
      <c r="AD29" s="927"/>
      <c r="AE29" s="927"/>
      <c r="AF29" s="928"/>
      <c r="AG29" s="928"/>
      <c r="AH29" s="926"/>
      <c r="AI29" s="926"/>
      <c r="AJ29" s="926"/>
      <c r="AK29" s="929"/>
      <c r="AL29" s="929"/>
      <c r="AM29" s="929"/>
      <c r="AN29" s="929"/>
      <c r="AO29" s="929"/>
      <c r="AP29" s="930"/>
      <c r="AQ29" s="930"/>
      <c r="AR29" s="930"/>
      <c r="AS29" s="930"/>
      <c r="AT29" s="930"/>
      <c r="AU29" s="930"/>
      <c r="AV29" s="930"/>
      <c r="AW29" s="929"/>
      <c r="AX29" s="931"/>
      <c r="AY29" s="932">
        <v>21.19</v>
      </c>
    </row>
    <row r="30" spans="2:51" s="160" customFormat="1" x14ac:dyDescent="0.3">
      <c r="B30" s="890">
        <v>45804</v>
      </c>
      <c r="C30" s="891">
        <v>0</v>
      </c>
      <c r="D30" s="892" t="s">
        <v>979</v>
      </c>
      <c r="E30" s="887" t="s">
        <v>983</v>
      </c>
      <c r="F30" s="894">
        <v>4.25</v>
      </c>
      <c r="G30" s="897">
        <v>4.25</v>
      </c>
      <c r="H30" s="895"/>
      <c r="I30" s="898">
        <f t="shared" si="1"/>
        <v>14521.479999999994</v>
      </c>
      <c r="J30" s="423"/>
      <c r="K30" s="896">
        <f t="shared" si="0"/>
        <v>4.25</v>
      </c>
      <c r="L30" s="926">
        <v>0</v>
      </c>
      <c r="M30" s="902"/>
      <c r="N30" s="927"/>
      <c r="O30" s="926"/>
      <c r="P30" s="926"/>
      <c r="Q30" s="926"/>
      <c r="R30" s="926"/>
      <c r="S30" s="926"/>
      <c r="T30" s="926">
        <v>4.25</v>
      </c>
      <c r="U30" s="926"/>
      <c r="V30" s="926"/>
      <c r="W30" s="926"/>
      <c r="X30" s="926"/>
      <c r="Y30" s="927"/>
      <c r="Z30" s="927"/>
      <c r="AA30" s="927"/>
      <c r="AB30" s="927"/>
      <c r="AC30" s="927"/>
      <c r="AD30" s="927"/>
      <c r="AE30" s="927"/>
      <c r="AF30" s="928"/>
      <c r="AG30" s="928"/>
      <c r="AH30" s="926"/>
      <c r="AI30" s="926"/>
      <c r="AJ30" s="926"/>
      <c r="AK30" s="929"/>
      <c r="AL30" s="929"/>
      <c r="AM30" s="929"/>
      <c r="AN30" s="929"/>
      <c r="AO30" s="929"/>
      <c r="AP30" s="930"/>
      <c r="AQ30" s="930"/>
      <c r="AR30" s="930"/>
      <c r="AS30" s="930"/>
      <c r="AT30" s="930"/>
      <c r="AU30" s="930"/>
      <c r="AV30" s="930"/>
      <c r="AW30" s="929"/>
      <c r="AX30" s="931"/>
      <c r="AY30" s="932"/>
    </row>
    <row r="31" spans="2:51" s="160" customFormat="1" x14ac:dyDescent="0.3">
      <c r="B31" s="890">
        <v>45806</v>
      </c>
      <c r="C31" s="891">
        <v>0</v>
      </c>
      <c r="D31" s="892" t="s">
        <v>1005</v>
      </c>
      <c r="E31" s="887" t="s">
        <v>943</v>
      </c>
      <c r="F31" s="894">
        <v>-73.88</v>
      </c>
      <c r="G31" s="897">
        <v>-73.88</v>
      </c>
      <c r="H31" s="895"/>
      <c r="I31" s="898">
        <f t="shared" si="1"/>
        <v>14595.359999999993</v>
      </c>
      <c r="J31" s="423"/>
      <c r="K31" s="896">
        <f t="shared" si="0"/>
        <v>-73.88</v>
      </c>
      <c r="L31" s="926">
        <v>0</v>
      </c>
      <c r="M31" s="902"/>
      <c r="N31" s="927"/>
      <c r="O31" s="926"/>
      <c r="P31" s="926"/>
      <c r="Q31" s="926"/>
      <c r="R31" s="926"/>
      <c r="S31" s="926"/>
      <c r="T31" s="926"/>
      <c r="U31" s="926"/>
      <c r="V31" s="926"/>
      <c r="W31" s="926"/>
      <c r="X31" s="926"/>
      <c r="Y31" s="927"/>
      <c r="Z31" s="927">
        <v>-73.88</v>
      </c>
      <c r="AA31" s="927"/>
      <c r="AB31" s="927"/>
      <c r="AC31" s="927"/>
      <c r="AD31" s="927"/>
      <c r="AE31" s="927"/>
      <c r="AF31" s="928"/>
      <c r="AG31" s="928"/>
      <c r="AH31" s="926"/>
      <c r="AI31" s="926"/>
      <c r="AJ31" s="926"/>
      <c r="AK31" s="929"/>
      <c r="AL31" s="929"/>
      <c r="AM31" s="929"/>
      <c r="AN31" s="929"/>
      <c r="AO31" s="929"/>
      <c r="AP31" s="930"/>
      <c r="AQ31" s="930"/>
      <c r="AR31" s="930"/>
      <c r="AS31" s="930"/>
      <c r="AT31" s="930"/>
      <c r="AU31" s="930"/>
      <c r="AV31" s="930"/>
      <c r="AW31" s="929"/>
      <c r="AX31" s="931"/>
      <c r="AY31" s="932"/>
    </row>
    <row r="32" spans="2:51" s="160" customFormat="1" x14ac:dyDescent="0.3">
      <c r="B32" s="890">
        <v>45813</v>
      </c>
      <c r="C32" s="891">
        <v>0</v>
      </c>
      <c r="D32" s="892" t="s">
        <v>984</v>
      </c>
      <c r="E32" s="887" t="s">
        <v>985</v>
      </c>
      <c r="F32" s="894">
        <v>1453.06</v>
      </c>
      <c r="G32" s="895"/>
      <c r="H32" s="895"/>
      <c r="I32" s="898">
        <f t="shared" si="1"/>
        <v>14595.359999999993</v>
      </c>
      <c r="J32" s="423"/>
      <c r="K32" s="896">
        <f t="shared" si="0"/>
        <v>1453.06</v>
      </c>
      <c r="L32" s="926">
        <v>0</v>
      </c>
      <c r="M32" s="902"/>
      <c r="N32" s="927"/>
      <c r="O32" s="926">
        <v>1237.8599999999999</v>
      </c>
      <c r="P32" s="926"/>
      <c r="Q32" s="926"/>
      <c r="R32" s="926"/>
      <c r="S32" s="926"/>
      <c r="T32" s="926"/>
      <c r="U32" s="926"/>
      <c r="V32" s="926"/>
      <c r="W32" s="926"/>
      <c r="X32" s="926"/>
      <c r="Y32" s="927"/>
      <c r="Z32" s="927"/>
      <c r="AA32" s="927"/>
      <c r="AB32" s="927"/>
      <c r="AC32" s="927"/>
      <c r="AD32" s="927"/>
      <c r="AE32" s="927"/>
      <c r="AF32" s="928"/>
      <c r="AG32" s="928"/>
      <c r="AH32" s="926"/>
      <c r="AI32" s="926"/>
      <c r="AJ32" s="926"/>
      <c r="AK32" s="929"/>
      <c r="AL32" s="929"/>
      <c r="AM32" s="929"/>
      <c r="AN32" s="929">
        <v>215.2</v>
      </c>
      <c r="AO32" s="929"/>
      <c r="AP32" s="930"/>
      <c r="AQ32" s="930"/>
      <c r="AR32" s="930"/>
      <c r="AS32" s="930"/>
      <c r="AT32" s="930"/>
      <c r="AU32" s="930"/>
      <c r="AV32" s="930"/>
      <c r="AW32" s="929"/>
      <c r="AX32" s="931"/>
      <c r="AY32" s="932"/>
    </row>
    <row r="33" spans="2:51" s="160" customFormat="1" x14ac:dyDescent="0.3">
      <c r="B33" s="890">
        <v>45813</v>
      </c>
      <c r="C33" s="891">
        <v>724594615</v>
      </c>
      <c r="D33" s="892" t="s">
        <v>986</v>
      </c>
      <c r="E33" s="887" t="s">
        <v>985</v>
      </c>
      <c r="F33" s="894">
        <v>47.36</v>
      </c>
      <c r="G33" s="895"/>
      <c r="H33" s="895"/>
      <c r="I33" s="898">
        <f t="shared" si="1"/>
        <v>14595.359999999993</v>
      </c>
      <c r="J33" s="423"/>
      <c r="K33" s="896">
        <f t="shared" si="0"/>
        <v>47.36</v>
      </c>
      <c r="L33" s="926">
        <v>2.06</v>
      </c>
      <c r="M33" s="902"/>
      <c r="N33" s="927"/>
      <c r="O33" s="926"/>
      <c r="P33" s="926"/>
      <c r="Q33" s="926"/>
      <c r="R33" s="926">
        <v>45.3</v>
      </c>
      <c r="S33" s="926"/>
      <c r="T33" s="926"/>
      <c r="U33" s="926"/>
      <c r="V33" s="926"/>
      <c r="W33" s="926"/>
      <c r="X33" s="926"/>
      <c r="Y33" s="927"/>
      <c r="Z33" s="927"/>
      <c r="AA33" s="927"/>
      <c r="AB33" s="927"/>
      <c r="AC33" s="927"/>
      <c r="AD33" s="927"/>
      <c r="AE33" s="927"/>
      <c r="AF33" s="928"/>
      <c r="AG33" s="928"/>
      <c r="AH33" s="926"/>
      <c r="AI33" s="926"/>
      <c r="AJ33" s="926"/>
      <c r="AK33" s="929"/>
      <c r="AL33" s="929"/>
      <c r="AM33" s="929"/>
      <c r="AN33" s="929"/>
      <c r="AO33" s="929"/>
      <c r="AP33" s="930"/>
      <c r="AQ33" s="930"/>
      <c r="AR33" s="930"/>
      <c r="AS33" s="930"/>
      <c r="AT33" s="930"/>
      <c r="AU33" s="930"/>
      <c r="AV33" s="930"/>
      <c r="AW33" s="929"/>
      <c r="AX33" s="931"/>
      <c r="AY33" s="932"/>
    </row>
    <row r="34" spans="2:51" s="160" customFormat="1" x14ac:dyDescent="0.3">
      <c r="B34" s="890">
        <v>45813</v>
      </c>
      <c r="C34" s="891">
        <v>214882167</v>
      </c>
      <c r="D34" s="892" t="s">
        <v>987</v>
      </c>
      <c r="E34" s="887" t="s">
        <v>985</v>
      </c>
      <c r="F34" s="894">
        <v>178.56</v>
      </c>
      <c r="G34" s="897">
        <f>SUM(F32:F34)</f>
        <v>1678.9799999999998</v>
      </c>
      <c r="H34" s="895"/>
      <c r="I34" s="898">
        <f t="shared" si="1"/>
        <v>12916.379999999994</v>
      </c>
      <c r="J34" s="423"/>
      <c r="K34" s="896">
        <f t="shared" si="0"/>
        <v>178.56</v>
      </c>
      <c r="L34" s="926">
        <v>29.76</v>
      </c>
      <c r="M34" s="902"/>
      <c r="N34" s="927"/>
      <c r="O34" s="926"/>
      <c r="P34" s="926"/>
      <c r="Q34" s="926"/>
      <c r="R34" s="926"/>
      <c r="S34" s="926"/>
      <c r="T34" s="926"/>
      <c r="U34" s="926"/>
      <c r="V34" s="926"/>
      <c r="W34" s="926"/>
      <c r="X34" s="926"/>
      <c r="Y34" s="927"/>
      <c r="Z34" s="927"/>
      <c r="AA34" s="927"/>
      <c r="AB34" s="927"/>
      <c r="AC34" s="927"/>
      <c r="AD34" s="927"/>
      <c r="AE34" s="927"/>
      <c r="AF34" s="928"/>
      <c r="AG34" s="928"/>
      <c r="AH34" s="926">
        <v>148.80000000000001</v>
      </c>
      <c r="AI34" s="926"/>
      <c r="AJ34" s="926"/>
      <c r="AK34" s="929"/>
      <c r="AL34" s="929"/>
      <c r="AM34" s="929"/>
      <c r="AN34" s="929"/>
      <c r="AO34" s="929"/>
      <c r="AP34" s="930"/>
      <c r="AQ34" s="930"/>
      <c r="AR34" s="930"/>
      <c r="AS34" s="930"/>
      <c r="AT34" s="930"/>
      <c r="AU34" s="930"/>
      <c r="AV34" s="930"/>
      <c r="AW34" s="929"/>
      <c r="AX34" s="931"/>
      <c r="AY34" s="932"/>
    </row>
    <row r="35" spans="2:51" s="160" customFormat="1" x14ac:dyDescent="0.3">
      <c r="B35" s="890">
        <v>45813</v>
      </c>
      <c r="C35" s="891">
        <v>0</v>
      </c>
      <c r="D35" s="892" t="s">
        <v>988</v>
      </c>
      <c r="E35" s="887" t="s">
        <v>989</v>
      </c>
      <c r="F35" s="894">
        <v>133.65</v>
      </c>
      <c r="G35" s="897">
        <v>133.65</v>
      </c>
      <c r="H35" s="895"/>
      <c r="I35" s="898">
        <f t="shared" si="1"/>
        <v>12782.729999999994</v>
      </c>
      <c r="J35" s="423"/>
      <c r="K35" s="896">
        <f t="shared" si="0"/>
        <v>133.65</v>
      </c>
      <c r="L35" s="926">
        <v>0</v>
      </c>
      <c r="M35" s="902"/>
      <c r="N35" s="927"/>
      <c r="O35" s="926"/>
      <c r="P35" s="926"/>
      <c r="Q35" s="926"/>
      <c r="R35" s="926"/>
      <c r="S35" s="926"/>
      <c r="T35" s="926"/>
      <c r="U35" s="926"/>
      <c r="V35" s="926"/>
      <c r="W35" s="926"/>
      <c r="X35" s="926"/>
      <c r="Y35" s="927"/>
      <c r="Z35" s="927"/>
      <c r="AA35" s="927"/>
      <c r="AB35" s="927"/>
      <c r="AC35" s="927"/>
      <c r="AD35" s="927"/>
      <c r="AE35" s="927"/>
      <c r="AF35" s="928"/>
      <c r="AG35" s="928"/>
      <c r="AH35" s="926"/>
      <c r="AI35" s="926"/>
      <c r="AJ35" s="926"/>
      <c r="AK35" s="929"/>
      <c r="AL35" s="929"/>
      <c r="AM35" s="929"/>
      <c r="AN35" s="929"/>
      <c r="AO35" s="929">
        <v>133.65</v>
      </c>
      <c r="AP35" s="930"/>
      <c r="AQ35" s="930"/>
      <c r="AR35" s="930"/>
      <c r="AS35" s="930"/>
      <c r="AT35" s="930"/>
      <c r="AU35" s="930"/>
      <c r="AV35" s="930"/>
      <c r="AW35" s="929"/>
      <c r="AX35" s="931"/>
      <c r="AY35" s="932"/>
    </row>
    <row r="36" spans="2:51" s="160" customFormat="1" x14ac:dyDescent="0.3">
      <c r="B36" s="890">
        <v>45813</v>
      </c>
      <c r="C36" s="891">
        <v>0</v>
      </c>
      <c r="D36" s="892" t="s">
        <v>990</v>
      </c>
      <c r="E36" s="887" t="s">
        <v>991</v>
      </c>
      <c r="F36" s="894">
        <v>397.78</v>
      </c>
      <c r="G36" s="897">
        <v>397.78</v>
      </c>
      <c r="H36" s="895"/>
      <c r="I36" s="898">
        <f t="shared" si="1"/>
        <v>12384.949999999993</v>
      </c>
      <c r="J36" s="423"/>
      <c r="K36" s="896">
        <f t="shared" si="0"/>
        <v>397.78</v>
      </c>
      <c r="L36" s="926">
        <v>0</v>
      </c>
      <c r="M36" s="902"/>
      <c r="N36" s="927"/>
      <c r="O36" s="926">
        <v>168.69</v>
      </c>
      <c r="P36" s="926"/>
      <c r="Q36" s="926">
        <v>195.69</v>
      </c>
      <c r="R36" s="926"/>
      <c r="S36" s="926"/>
      <c r="T36" s="926"/>
      <c r="U36" s="926"/>
      <c r="V36" s="926"/>
      <c r="W36" s="926"/>
      <c r="X36" s="926"/>
      <c r="Y36" s="927"/>
      <c r="Z36" s="927"/>
      <c r="AA36" s="927"/>
      <c r="AB36" s="927"/>
      <c r="AC36" s="927"/>
      <c r="AD36" s="927"/>
      <c r="AE36" s="927"/>
      <c r="AF36" s="928"/>
      <c r="AG36" s="928"/>
      <c r="AH36" s="926"/>
      <c r="AI36" s="926"/>
      <c r="AJ36" s="926"/>
      <c r="AK36" s="929"/>
      <c r="AL36" s="929"/>
      <c r="AM36" s="929"/>
      <c r="AN36" s="929"/>
      <c r="AO36" s="929">
        <v>33.4</v>
      </c>
      <c r="AP36" s="930"/>
      <c r="AQ36" s="930"/>
      <c r="AR36" s="930"/>
      <c r="AS36" s="930"/>
      <c r="AT36" s="930"/>
      <c r="AU36" s="930"/>
      <c r="AV36" s="930"/>
      <c r="AW36" s="929"/>
      <c r="AX36" s="931"/>
      <c r="AY36" s="932"/>
    </row>
    <row r="37" spans="2:51" s="160" customFormat="1" x14ac:dyDescent="0.3">
      <c r="B37" s="890">
        <v>45813</v>
      </c>
      <c r="C37" s="891">
        <v>0</v>
      </c>
      <c r="D37" s="892" t="s">
        <v>992</v>
      </c>
      <c r="E37" s="887" t="s">
        <v>993</v>
      </c>
      <c r="F37" s="894">
        <v>1575</v>
      </c>
      <c r="G37" s="897">
        <v>1575</v>
      </c>
      <c r="H37" s="895"/>
      <c r="I37" s="898">
        <f t="shared" si="1"/>
        <v>10809.949999999993</v>
      </c>
      <c r="J37" s="423"/>
      <c r="K37" s="896">
        <f t="shared" si="0"/>
        <v>1575</v>
      </c>
      <c r="L37" s="926">
        <v>0</v>
      </c>
      <c r="M37" s="902">
        <v>1575</v>
      </c>
      <c r="N37" s="927"/>
      <c r="O37" s="926"/>
      <c r="P37" s="926"/>
      <c r="Q37" s="926"/>
      <c r="R37" s="926"/>
      <c r="S37" s="926"/>
      <c r="T37" s="926"/>
      <c r="U37" s="926"/>
      <c r="V37" s="926"/>
      <c r="W37" s="926"/>
      <c r="X37" s="926"/>
      <c r="Y37" s="927"/>
      <c r="Z37" s="927"/>
      <c r="AA37" s="927"/>
      <c r="AB37" s="927"/>
      <c r="AC37" s="927"/>
      <c r="AD37" s="927"/>
      <c r="AE37" s="927"/>
      <c r="AF37" s="928"/>
      <c r="AG37" s="928"/>
      <c r="AH37" s="926"/>
      <c r="AI37" s="926"/>
      <c r="AJ37" s="926"/>
      <c r="AK37" s="929"/>
      <c r="AL37" s="929"/>
      <c r="AM37" s="929"/>
      <c r="AN37" s="929"/>
      <c r="AO37" s="929"/>
      <c r="AP37" s="930"/>
      <c r="AQ37" s="930"/>
      <c r="AR37" s="930"/>
      <c r="AS37" s="930"/>
      <c r="AT37" s="930"/>
      <c r="AU37" s="930"/>
      <c r="AV37" s="930"/>
      <c r="AW37" s="929"/>
      <c r="AX37" s="931"/>
      <c r="AY37" s="932"/>
    </row>
    <row r="38" spans="2:51" s="160" customFormat="1" x14ac:dyDescent="0.3">
      <c r="B38" s="890">
        <v>45813</v>
      </c>
      <c r="C38" s="891">
        <v>131505120</v>
      </c>
      <c r="D38" s="892" t="s">
        <v>994</v>
      </c>
      <c r="E38" s="887" t="s">
        <v>995</v>
      </c>
      <c r="F38" s="894">
        <v>806.76</v>
      </c>
      <c r="G38" s="897">
        <v>806.76</v>
      </c>
      <c r="H38" s="895"/>
      <c r="I38" s="898">
        <f t="shared" si="1"/>
        <v>10003.189999999993</v>
      </c>
      <c r="J38" s="423"/>
      <c r="K38" s="896">
        <f t="shared" si="0"/>
        <v>806.76</v>
      </c>
      <c r="L38" s="926">
        <v>134.46</v>
      </c>
      <c r="M38" s="902"/>
      <c r="N38" s="927"/>
      <c r="O38" s="926"/>
      <c r="P38" s="926"/>
      <c r="Q38" s="926"/>
      <c r="R38" s="926"/>
      <c r="S38" s="926"/>
      <c r="T38" s="926"/>
      <c r="U38" s="926"/>
      <c r="V38" s="926"/>
      <c r="W38" s="926"/>
      <c r="X38" s="926"/>
      <c r="Y38" s="927"/>
      <c r="Z38" s="927"/>
      <c r="AA38" s="927"/>
      <c r="AB38" s="927"/>
      <c r="AC38" s="927"/>
      <c r="AD38" s="927"/>
      <c r="AE38" s="927"/>
      <c r="AF38" s="928"/>
      <c r="AG38" s="928"/>
      <c r="AH38" s="926"/>
      <c r="AI38" s="926"/>
      <c r="AJ38" s="926"/>
      <c r="AK38" s="929"/>
      <c r="AL38" s="929"/>
      <c r="AM38" s="929"/>
      <c r="AN38" s="929"/>
      <c r="AO38" s="929"/>
      <c r="AP38" s="930"/>
      <c r="AQ38" s="930"/>
      <c r="AR38" s="930"/>
      <c r="AS38" s="930"/>
      <c r="AT38" s="930"/>
      <c r="AU38" s="930"/>
      <c r="AV38" s="930"/>
      <c r="AW38" s="929">
        <v>672.3</v>
      </c>
      <c r="AX38" s="931"/>
      <c r="AY38" s="932"/>
    </row>
    <row r="39" spans="2:51" s="160" customFormat="1" x14ac:dyDescent="0.3">
      <c r="B39" s="890">
        <v>45813</v>
      </c>
      <c r="C39" s="891">
        <v>0</v>
      </c>
      <c r="D39" s="892" t="s">
        <v>996</v>
      </c>
      <c r="E39" s="887" t="s">
        <v>997</v>
      </c>
      <c r="F39" s="894">
        <v>35</v>
      </c>
      <c r="G39" s="897">
        <v>35</v>
      </c>
      <c r="H39" s="895"/>
      <c r="I39" s="898">
        <f t="shared" si="1"/>
        <v>9968.1899999999932</v>
      </c>
      <c r="J39" s="423"/>
      <c r="K39" s="896">
        <f t="shared" si="0"/>
        <v>35</v>
      </c>
      <c r="L39" s="926">
        <v>0</v>
      </c>
      <c r="M39" s="902"/>
      <c r="N39" s="927"/>
      <c r="O39" s="926"/>
      <c r="P39" s="926"/>
      <c r="Q39" s="926"/>
      <c r="R39" s="926"/>
      <c r="S39" s="926"/>
      <c r="T39" s="926"/>
      <c r="U39" s="926"/>
      <c r="V39" s="926"/>
      <c r="W39" s="926"/>
      <c r="X39" s="926"/>
      <c r="Y39" s="927">
        <v>35</v>
      </c>
      <c r="Z39" s="927"/>
      <c r="AA39" s="927"/>
      <c r="AB39" s="927"/>
      <c r="AC39" s="927"/>
      <c r="AD39" s="927"/>
      <c r="AE39" s="927"/>
      <c r="AF39" s="928"/>
      <c r="AG39" s="928"/>
      <c r="AH39" s="926"/>
      <c r="AI39" s="926"/>
      <c r="AJ39" s="926"/>
      <c r="AK39" s="929"/>
      <c r="AL39" s="929"/>
      <c r="AM39" s="929"/>
      <c r="AN39" s="929"/>
      <c r="AO39" s="929"/>
      <c r="AP39" s="930"/>
      <c r="AQ39" s="930"/>
      <c r="AR39" s="930"/>
      <c r="AS39" s="930"/>
      <c r="AT39" s="930"/>
      <c r="AU39" s="930"/>
      <c r="AV39" s="930"/>
      <c r="AW39" s="929"/>
      <c r="AX39" s="931"/>
      <c r="AY39" s="932"/>
    </row>
    <row r="40" spans="2:51" s="160" customFormat="1" x14ac:dyDescent="0.3">
      <c r="B40" s="890">
        <v>45813</v>
      </c>
      <c r="C40" s="891" t="s">
        <v>1000</v>
      </c>
      <c r="D40" s="892" t="s">
        <v>998</v>
      </c>
      <c r="E40" s="887" t="s">
        <v>999</v>
      </c>
      <c r="F40" s="894">
        <v>65.739999999999995</v>
      </c>
      <c r="G40" s="897">
        <v>65.739999999999995</v>
      </c>
      <c r="H40" s="895"/>
      <c r="I40" s="898">
        <f t="shared" si="1"/>
        <v>9902.4499999999935</v>
      </c>
      <c r="J40" s="423"/>
      <c r="K40" s="896">
        <f t="shared" si="0"/>
        <v>65.740000000000009</v>
      </c>
      <c r="L40" s="926">
        <v>10.96</v>
      </c>
      <c r="M40" s="902"/>
      <c r="N40" s="927"/>
      <c r="O40" s="926"/>
      <c r="P40" s="926"/>
      <c r="Q40" s="926"/>
      <c r="R40" s="926"/>
      <c r="S40" s="926"/>
      <c r="T40" s="926"/>
      <c r="U40" s="926"/>
      <c r="V40" s="926"/>
      <c r="W40" s="926"/>
      <c r="X40" s="926"/>
      <c r="Y40" s="927"/>
      <c r="Z40" s="927"/>
      <c r="AA40" s="927"/>
      <c r="AB40" s="927"/>
      <c r="AC40" s="927"/>
      <c r="AD40" s="927"/>
      <c r="AE40" s="927"/>
      <c r="AF40" s="928"/>
      <c r="AG40" s="928"/>
      <c r="AH40" s="926"/>
      <c r="AI40" s="926"/>
      <c r="AJ40" s="926">
        <v>54.78</v>
      </c>
      <c r="AK40" s="929"/>
      <c r="AL40" s="929"/>
      <c r="AM40" s="929"/>
      <c r="AN40" s="929"/>
      <c r="AO40" s="929"/>
      <c r="AP40" s="930"/>
      <c r="AQ40" s="930"/>
      <c r="AR40" s="930"/>
      <c r="AS40" s="930"/>
      <c r="AT40" s="930"/>
      <c r="AU40" s="930"/>
      <c r="AV40" s="930"/>
      <c r="AW40" s="929"/>
      <c r="AX40" s="931"/>
      <c r="AY40" s="932"/>
    </row>
    <row r="41" spans="2:51" s="160" customFormat="1" x14ac:dyDescent="0.3">
      <c r="B41" s="890">
        <v>45813</v>
      </c>
      <c r="C41" s="891">
        <v>220430231</v>
      </c>
      <c r="D41" s="892" t="s">
        <v>1001</v>
      </c>
      <c r="E41" s="887" t="s">
        <v>1002</v>
      </c>
      <c r="F41" s="894">
        <v>158.02000000000001</v>
      </c>
      <c r="G41" s="897">
        <v>158.02000000000001</v>
      </c>
      <c r="H41" s="895"/>
      <c r="I41" s="898">
        <f t="shared" si="1"/>
        <v>9744.429999999993</v>
      </c>
      <c r="J41" s="423"/>
      <c r="K41" s="896">
        <f t="shared" si="0"/>
        <v>158.02000000000001</v>
      </c>
      <c r="L41" s="926">
        <v>26.34</v>
      </c>
      <c r="M41" s="902"/>
      <c r="N41" s="927"/>
      <c r="O41" s="926"/>
      <c r="P41" s="926"/>
      <c r="Q41" s="926"/>
      <c r="R41" s="926"/>
      <c r="S41" s="926"/>
      <c r="T41" s="926"/>
      <c r="U41" s="926"/>
      <c r="V41" s="926"/>
      <c r="W41" s="926"/>
      <c r="X41" s="926"/>
      <c r="Y41" s="927"/>
      <c r="Z41" s="927"/>
      <c r="AA41" s="927"/>
      <c r="AB41" s="927"/>
      <c r="AC41" s="927"/>
      <c r="AD41" s="927"/>
      <c r="AE41" s="927"/>
      <c r="AF41" s="928"/>
      <c r="AG41" s="928"/>
      <c r="AH41" s="926"/>
      <c r="AI41" s="926"/>
      <c r="AJ41" s="926"/>
      <c r="AK41" s="929"/>
      <c r="AL41" s="929"/>
      <c r="AM41" s="929"/>
      <c r="AN41" s="929"/>
      <c r="AO41" s="929"/>
      <c r="AP41" s="930"/>
      <c r="AQ41" s="930"/>
      <c r="AR41" s="930"/>
      <c r="AS41" s="930">
        <v>131.68</v>
      </c>
      <c r="AT41" s="930"/>
      <c r="AU41" s="930"/>
      <c r="AV41" s="930"/>
      <c r="AW41" s="929"/>
      <c r="AX41" s="931"/>
      <c r="AY41" s="932"/>
    </row>
    <row r="42" spans="2:51" s="160" customFormat="1" x14ac:dyDescent="0.3">
      <c r="B42" s="890">
        <v>45813</v>
      </c>
      <c r="C42" s="891">
        <v>0</v>
      </c>
      <c r="D42" s="892" t="s">
        <v>1003</v>
      </c>
      <c r="E42" s="887" t="s">
        <v>1004</v>
      </c>
      <c r="F42" s="894">
        <v>483.77</v>
      </c>
      <c r="G42" s="897">
        <v>483.77</v>
      </c>
      <c r="H42" s="895"/>
      <c r="I42" s="898">
        <f t="shared" si="1"/>
        <v>9260.6599999999926</v>
      </c>
      <c r="J42" s="423"/>
      <c r="K42" s="896">
        <f t="shared" si="0"/>
        <v>483.77</v>
      </c>
      <c r="L42" s="926">
        <v>0</v>
      </c>
      <c r="M42" s="902"/>
      <c r="N42" s="927"/>
      <c r="O42" s="926">
        <v>99.85</v>
      </c>
      <c r="P42" s="926">
        <v>383.92</v>
      </c>
      <c r="Q42" s="926"/>
      <c r="R42" s="926"/>
      <c r="S42" s="926"/>
      <c r="T42" s="926"/>
      <c r="U42" s="926"/>
      <c r="V42" s="926"/>
      <c r="W42" s="926"/>
      <c r="X42" s="926"/>
      <c r="Y42" s="927"/>
      <c r="Z42" s="927"/>
      <c r="AA42" s="927"/>
      <c r="AB42" s="927"/>
      <c r="AC42" s="927"/>
      <c r="AD42" s="927"/>
      <c r="AE42" s="927"/>
      <c r="AF42" s="928"/>
      <c r="AG42" s="928"/>
      <c r="AH42" s="926"/>
      <c r="AI42" s="926"/>
      <c r="AJ42" s="926"/>
      <c r="AK42" s="929"/>
      <c r="AL42" s="929"/>
      <c r="AM42" s="929"/>
      <c r="AN42" s="929"/>
      <c r="AO42" s="929"/>
      <c r="AP42" s="930"/>
      <c r="AQ42" s="930"/>
      <c r="AR42" s="930"/>
      <c r="AS42" s="930"/>
      <c r="AT42" s="930"/>
      <c r="AU42" s="930"/>
      <c r="AV42" s="930"/>
      <c r="AW42" s="929"/>
      <c r="AX42" s="931"/>
      <c r="AY42" s="932"/>
    </row>
    <row r="43" spans="2:51" s="160" customFormat="1" x14ac:dyDescent="0.3">
      <c r="B43" s="890">
        <v>45813</v>
      </c>
      <c r="C43" s="891">
        <v>0</v>
      </c>
      <c r="D43" s="892" t="s">
        <v>1012</v>
      </c>
      <c r="E43" s="887" t="s">
        <v>1013</v>
      </c>
      <c r="F43" s="894">
        <v>500</v>
      </c>
      <c r="G43" s="897">
        <v>500</v>
      </c>
      <c r="H43" s="895"/>
      <c r="I43" s="898">
        <f>I42-G43+H43</f>
        <v>8760.6599999999926</v>
      </c>
      <c r="J43" s="423"/>
      <c r="K43" s="896">
        <f t="shared" si="0"/>
        <v>500</v>
      </c>
      <c r="L43" s="926">
        <v>0</v>
      </c>
      <c r="M43" s="902"/>
      <c r="N43" s="927"/>
      <c r="O43" s="926"/>
      <c r="P43" s="926"/>
      <c r="Q43" s="926"/>
      <c r="R43" s="926"/>
      <c r="S43" s="926"/>
      <c r="T43" s="926"/>
      <c r="U43" s="926"/>
      <c r="V43" s="926"/>
      <c r="W43" s="926"/>
      <c r="X43" s="926"/>
      <c r="Y43" s="927"/>
      <c r="Z43" s="927"/>
      <c r="AA43" s="927"/>
      <c r="AB43" s="927"/>
      <c r="AC43" s="927">
        <v>500</v>
      </c>
      <c r="AD43" s="927"/>
      <c r="AE43" s="927"/>
      <c r="AF43" s="928"/>
      <c r="AG43" s="928"/>
      <c r="AH43" s="926"/>
      <c r="AI43" s="926"/>
      <c r="AJ43" s="926"/>
      <c r="AK43" s="929"/>
      <c r="AL43" s="929"/>
      <c r="AM43" s="929"/>
      <c r="AN43" s="929"/>
      <c r="AO43" s="929"/>
      <c r="AP43" s="930"/>
      <c r="AQ43" s="930"/>
      <c r="AR43" s="930"/>
      <c r="AS43" s="930"/>
      <c r="AT43" s="930"/>
      <c r="AU43" s="930"/>
      <c r="AV43" s="930"/>
      <c r="AW43" s="929"/>
      <c r="AX43" s="931"/>
      <c r="AY43" s="932"/>
    </row>
    <row r="44" spans="2:51" s="160" customFormat="1" x14ac:dyDescent="0.3">
      <c r="B44" s="890">
        <v>45813</v>
      </c>
      <c r="C44" s="891">
        <v>408556737</v>
      </c>
      <c r="D44" s="892" t="s">
        <v>1016</v>
      </c>
      <c r="E44" s="887" t="s">
        <v>1014</v>
      </c>
      <c r="F44" s="894">
        <v>95.96</v>
      </c>
      <c r="G44" s="897">
        <v>95.96</v>
      </c>
      <c r="H44" s="895"/>
      <c r="I44" s="898">
        <f t="shared" si="1"/>
        <v>8664.6999999999935</v>
      </c>
      <c r="J44" s="423"/>
      <c r="K44" s="896">
        <f t="shared" si="0"/>
        <v>95.96</v>
      </c>
      <c r="L44" s="926">
        <v>16</v>
      </c>
      <c r="M44" s="902"/>
      <c r="N44" s="927"/>
      <c r="O44" s="926"/>
      <c r="P44" s="926"/>
      <c r="Q44" s="926"/>
      <c r="R44" s="926"/>
      <c r="S44" s="926"/>
      <c r="T44" s="926"/>
      <c r="U44" s="926"/>
      <c r="V44" s="926"/>
      <c r="W44" s="926"/>
      <c r="X44" s="926"/>
      <c r="Y44" s="927"/>
      <c r="Z44" s="927"/>
      <c r="AA44" s="927"/>
      <c r="AB44" s="927"/>
      <c r="AC44" s="927"/>
      <c r="AD44" s="927"/>
      <c r="AE44" s="927"/>
      <c r="AF44" s="928"/>
      <c r="AG44" s="928"/>
      <c r="AH44" s="926"/>
      <c r="AI44" s="926"/>
      <c r="AJ44" s="926"/>
      <c r="AK44" s="929"/>
      <c r="AL44" s="929"/>
      <c r="AM44" s="929"/>
      <c r="AN44" s="929"/>
      <c r="AO44" s="929"/>
      <c r="AP44" s="930"/>
      <c r="AQ44" s="930">
        <v>79.959999999999994</v>
      </c>
      <c r="AR44" s="930"/>
      <c r="AS44" s="930"/>
      <c r="AT44" s="930"/>
      <c r="AU44" s="930"/>
      <c r="AV44" s="930"/>
      <c r="AW44" s="929"/>
      <c r="AX44" s="931"/>
      <c r="AY44" s="932"/>
    </row>
    <row r="45" spans="2:51" s="160" customFormat="1" x14ac:dyDescent="0.3">
      <c r="B45" s="890">
        <v>45824</v>
      </c>
      <c r="C45" s="891">
        <v>245719348</v>
      </c>
      <c r="D45" s="892" t="s">
        <v>1017</v>
      </c>
      <c r="E45" s="887" t="s">
        <v>1018</v>
      </c>
      <c r="F45" s="894">
        <v>25.43</v>
      </c>
      <c r="G45" s="897">
        <v>25.43</v>
      </c>
      <c r="H45" s="895"/>
      <c r="I45" s="898">
        <f t="shared" si="1"/>
        <v>8639.2699999999932</v>
      </c>
      <c r="J45" s="423"/>
      <c r="K45" s="896">
        <f t="shared" si="0"/>
        <v>25.43</v>
      </c>
      <c r="L45" s="926">
        <v>4.24</v>
      </c>
      <c r="M45" s="902"/>
      <c r="N45" s="927"/>
      <c r="O45" s="926"/>
      <c r="P45" s="926"/>
      <c r="Q45" s="926"/>
      <c r="R45" s="926"/>
      <c r="S45" s="926"/>
      <c r="T45" s="926"/>
      <c r="U45" s="926"/>
      <c r="V45" s="926"/>
      <c r="W45" s="926"/>
      <c r="X45" s="926"/>
      <c r="Y45" s="927"/>
      <c r="Z45" s="927"/>
      <c r="AA45" s="927"/>
      <c r="AB45" s="927"/>
      <c r="AC45" s="927"/>
      <c r="AD45" s="927"/>
      <c r="AE45" s="927"/>
      <c r="AF45" s="928"/>
      <c r="AG45" s="928"/>
      <c r="AH45" s="926"/>
      <c r="AI45" s="926"/>
      <c r="AJ45" s="926"/>
      <c r="AK45" s="929"/>
      <c r="AL45" s="929"/>
      <c r="AM45" s="929"/>
      <c r="AN45" s="929"/>
      <c r="AO45" s="929"/>
      <c r="AP45" s="930"/>
      <c r="AQ45" s="930"/>
      <c r="AR45" s="930"/>
      <c r="AS45" s="930"/>
      <c r="AT45" s="930"/>
      <c r="AU45" s="930"/>
      <c r="AV45" s="930"/>
      <c r="AW45" s="929"/>
      <c r="AX45" s="931"/>
      <c r="AY45" s="932">
        <v>21.19</v>
      </c>
    </row>
    <row r="46" spans="2:51" s="160" customFormat="1" x14ac:dyDescent="0.3">
      <c r="B46" s="890">
        <v>45828</v>
      </c>
      <c r="C46" s="891">
        <v>334028724</v>
      </c>
      <c r="D46" s="892" t="s">
        <v>1025</v>
      </c>
      <c r="E46" s="887" t="s">
        <v>1019</v>
      </c>
      <c r="F46" s="894">
        <v>432</v>
      </c>
      <c r="G46" s="897">
        <v>432</v>
      </c>
      <c r="H46" s="895"/>
      <c r="I46" s="898">
        <f t="shared" si="1"/>
        <v>8207.2699999999932</v>
      </c>
      <c r="J46" s="423"/>
      <c r="K46" s="896">
        <f t="shared" si="0"/>
        <v>432</v>
      </c>
      <c r="L46" s="926">
        <v>72</v>
      </c>
      <c r="M46" s="902"/>
      <c r="N46" s="927"/>
      <c r="O46" s="926"/>
      <c r="P46" s="926"/>
      <c r="Q46" s="926"/>
      <c r="R46" s="926"/>
      <c r="S46" s="926"/>
      <c r="T46" s="926"/>
      <c r="U46" s="926"/>
      <c r="V46" s="926"/>
      <c r="W46" s="926"/>
      <c r="X46" s="926"/>
      <c r="Y46" s="927"/>
      <c r="Z46" s="927"/>
      <c r="AA46" s="927"/>
      <c r="AB46" s="927"/>
      <c r="AC46" s="927"/>
      <c r="AD46" s="927"/>
      <c r="AE46" s="927"/>
      <c r="AF46" s="928"/>
      <c r="AG46" s="928"/>
      <c r="AH46" s="926"/>
      <c r="AI46" s="926"/>
      <c r="AJ46" s="926"/>
      <c r="AK46" s="929"/>
      <c r="AL46" s="929">
        <v>360</v>
      </c>
      <c r="AM46" s="929"/>
      <c r="AN46" s="929"/>
      <c r="AO46" s="929"/>
      <c r="AP46" s="930"/>
      <c r="AQ46" s="930"/>
      <c r="AR46" s="930"/>
      <c r="AS46" s="930"/>
      <c r="AT46" s="930"/>
      <c r="AU46" s="930"/>
      <c r="AV46" s="930"/>
      <c r="AW46" s="929"/>
      <c r="AX46" s="931"/>
      <c r="AY46" s="932"/>
    </row>
    <row r="47" spans="2:51" s="160" customFormat="1" x14ac:dyDescent="0.3">
      <c r="B47" s="890">
        <v>45835</v>
      </c>
      <c r="C47" s="891">
        <v>0</v>
      </c>
      <c r="D47" s="892" t="s">
        <v>1020</v>
      </c>
      <c r="E47" s="887" t="s">
        <v>1021</v>
      </c>
      <c r="F47" s="894">
        <v>4.25</v>
      </c>
      <c r="G47" s="897">
        <v>4.25</v>
      </c>
      <c r="H47" s="895"/>
      <c r="I47" s="898">
        <f t="shared" si="1"/>
        <v>8203.0199999999932</v>
      </c>
      <c r="J47" s="423"/>
      <c r="K47" s="896">
        <f t="shared" si="0"/>
        <v>4.25</v>
      </c>
      <c r="L47" s="926">
        <v>0</v>
      </c>
      <c r="M47" s="902"/>
      <c r="N47" s="927"/>
      <c r="O47" s="926"/>
      <c r="P47" s="926"/>
      <c r="Q47" s="926"/>
      <c r="R47" s="926"/>
      <c r="S47" s="926"/>
      <c r="T47" s="926">
        <v>4.25</v>
      </c>
      <c r="U47" s="926"/>
      <c r="V47" s="926"/>
      <c r="W47" s="926"/>
      <c r="X47" s="926"/>
      <c r="Y47" s="927"/>
      <c r="Z47" s="927"/>
      <c r="AA47" s="927"/>
      <c r="AB47" s="927"/>
      <c r="AC47" s="927"/>
      <c r="AD47" s="927"/>
      <c r="AE47" s="927"/>
      <c r="AF47" s="928"/>
      <c r="AG47" s="928"/>
      <c r="AH47" s="926"/>
      <c r="AI47" s="926"/>
      <c r="AJ47" s="926"/>
      <c r="AK47" s="929"/>
      <c r="AL47" s="929"/>
      <c r="AM47" s="929"/>
      <c r="AN47" s="929"/>
      <c r="AO47" s="929"/>
      <c r="AP47" s="930"/>
      <c r="AQ47" s="930"/>
      <c r="AR47" s="930"/>
      <c r="AS47" s="930"/>
      <c r="AT47" s="930"/>
      <c r="AU47" s="930"/>
      <c r="AV47" s="930"/>
      <c r="AW47" s="929"/>
      <c r="AX47" s="931"/>
      <c r="AY47" s="932"/>
    </row>
    <row r="48" spans="2:51" s="160" customFormat="1" x14ac:dyDescent="0.3">
      <c r="B48" s="890">
        <v>45841</v>
      </c>
      <c r="C48" s="891">
        <v>0</v>
      </c>
      <c r="D48" s="892" t="s">
        <v>948</v>
      </c>
      <c r="E48" s="887" t="s">
        <v>1055</v>
      </c>
      <c r="F48" s="894"/>
      <c r="G48" s="895"/>
      <c r="H48" s="897">
        <v>25000</v>
      </c>
      <c r="I48" s="898">
        <f t="shared" si="1"/>
        <v>33203.01999999999</v>
      </c>
      <c r="J48" s="423"/>
      <c r="K48" s="896">
        <f t="shared" si="0"/>
        <v>0</v>
      </c>
      <c r="L48" s="926"/>
      <c r="M48" s="902"/>
      <c r="N48" s="927"/>
      <c r="O48" s="926"/>
      <c r="P48" s="926"/>
      <c r="Q48" s="926"/>
      <c r="R48" s="926"/>
      <c r="S48" s="926"/>
      <c r="T48" s="926"/>
      <c r="U48" s="926"/>
      <c r="V48" s="926"/>
      <c r="W48" s="926"/>
      <c r="X48" s="926"/>
      <c r="Y48" s="927"/>
      <c r="Z48" s="927"/>
      <c r="AA48" s="927"/>
      <c r="AB48" s="927"/>
      <c r="AC48" s="927"/>
      <c r="AD48" s="927"/>
      <c r="AE48" s="927"/>
      <c r="AF48" s="928"/>
      <c r="AG48" s="928"/>
      <c r="AH48" s="926"/>
      <c r="AI48" s="926"/>
      <c r="AJ48" s="926"/>
      <c r="AK48" s="929"/>
      <c r="AL48" s="929"/>
      <c r="AM48" s="929"/>
      <c r="AN48" s="929"/>
      <c r="AO48" s="929"/>
      <c r="AP48" s="930"/>
      <c r="AQ48" s="930"/>
      <c r="AR48" s="930"/>
      <c r="AS48" s="930"/>
      <c r="AT48" s="930"/>
      <c r="AU48" s="930"/>
      <c r="AV48" s="930"/>
      <c r="AW48" s="929"/>
      <c r="AX48" s="931"/>
      <c r="AY48" s="932"/>
    </row>
    <row r="49" spans="2:51" s="160" customFormat="1" x14ac:dyDescent="0.3">
      <c r="B49" s="890">
        <v>45841</v>
      </c>
      <c r="C49" s="891">
        <v>0</v>
      </c>
      <c r="D49" s="892" t="s">
        <v>1028</v>
      </c>
      <c r="E49" s="887" t="s">
        <v>1029</v>
      </c>
      <c r="F49" s="894">
        <v>1453.26</v>
      </c>
      <c r="G49" s="895"/>
      <c r="H49" s="895"/>
      <c r="I49" s="898">
        <f t="shared" si="1"/>
        <v>33203.01999999999</v>
      </c>
      <c r="J49" s="423"/>
      <c r="K49" s="896">
        <f t="shared" si="0"/>
        <v>1453.26</v>
      </c>
      <c r="L49" s="926">
        <v>0</v>
      </c>
      <c r="M49" s="902"/>
      <c r="N49" s="927"/>
      <c r="O49" s="926">
        <v>1238.06</v>
      </c>
      <c r="P49" s="926"/>
      <c r="Q49" s="926"/>
      <c r="R49" s="926"/>
      <c r="S49" s="926"/>
      <c r="T49" s="926"/>
      <c r="U49" s="926"/>
      <c r="V49" s="926"/>
      <c r="W49" s="926"/>
      <c r="X49" s="926"/>
      <c r="Y49" s="927"/>
      <c r="Z49" s="927"/>
      <c r="AA49" s="927"/>
      <c r="AB49" s="927"/>
      <c r="AC49" s="927"/>
      <c r="AD49" s="927"/>
      <c r="AE49" s="927"/>
      <c r="AF49" s="928"/>
      <c r="AG49" s="928"/>
      <c r="AH49" s="926"/>
      <c r="AI49" s="926"/>
      <c r="AJ49" s="926"/>
      <c r="AK49" s="929"/>
      <c r="AL49" s="929"/>
      <c r="AM49" s="929"/>
      <c r="AN49" s="929">
        <v>215.2</v>
      </c>
      <c r="AO49" s="929"/>
      <c r="AP49" s="930"/>
      <c r="AQ49" s="930"/>
      <c r="AR49" s="930"/>
      <c r="AS49" s="930"/>
      <c r="AT49" s="930"/>
      <c r="AU49" s="930"/>
      <c r="AV49" s="930"/>
      <c r="AW49" s="929"/>
      <c r="AX49" s="931"/>
      <c r="AY49" s="932"/>
    </row>
    <row r="50" spans="2:51" s="160" customFormat="1" x14ac:dyDescent="0.3">
      <c r="B50" s="890">
        <v>45841</v>
      </c>
      <c r="C50" s="891">
        <v>724594615</v>
      </c>
      <c r="D50" s="892" t="s">
        <v>1031</v>
      </c>
      <c r="E50" s="887" t="s">
        <v>1029</v>
      </c>
      <c r="F50" s="894">
        <v>47.36</v>
      </c>
      <c r="G50" s="895"/>
      <c r="H50" s="895"/>
      <c r="I50" s="898">
        <f t="shared" si="1"/>
        <v>33203.01999999999</v>
      </c>
      <c r="J50" s="423"/>
      <c r="K50" s="896">
        <f t="shared" si="0"/>
        <v>47.36</v>
      </c>
      <c r="L50" s="926">
        <v>2.06</v>
      </c>
      <c r="M50" s="902"/>
      <c r="N50" s="927"/>
      <c r="O50" s="926"/>
      <c r="P50" s="926"/>
      <c r="Q50" s="926"/>
      <c r="R50" s="926">
        <v>45.3</v>
      </c>
      <c r="S50" s="926"/>
      <c r="T50" s="926"/>
      <c r="U50" s="926"/>
      <c r="V50" s="926"/>
      <c r="W50" s="926"/>
      <c r="X50" s="926"/>
      <c r="Y50" s="927"/>
      <c r="Z50" s="927"/>
      <c r="AA50" s="927"/>
      <c r="AB50" s="927"/>
      <c r="AC50" s="927"/>
      <c r="AD50" s="927"/>
      <c r="AE50" s="927"/>
      <c r="AF50" s="928"/>
      <c r="AG50" s="928"/>
      <c r="AH50" s="926"/>
      <c r="AI50" s="926"/>
      <c r="AJ50" s="926"/>
      <c r="AK50" s="929"/>
      <c r="AL50" s="929"/>
      <c r="AM50" s="929"/>
      <c r="AN50" s="929"/>
      <c r="AO50" s="929"/>
      <c r="AP50" s="930"/>
      <c r="AQ50" s="930"/>
      <c r="AR50" s="930"/>
      <c r="AS50" s="930"/>
      <c r="AT50" s="930"/>
      <c r="AU50" s="930"/>
      <c r="AV50" s="930"/>
      <c r="AW50" s="929"/>
      <c r="AX50" s="931"/>
      <c r="AY50" s="932"/>
    </row>
    <row r="51" spans="2:51" s="160" customFormat="1" x14ac:dyDescent="0.3">
      <c r="B51" s="890">
        <v>45841</v>
      </c>
      <c r="C51" s="891">
        <v>660454836</v>
      </c>
      <c r="D51" s="892" t="s">
        <v>1030</v>
      </c>
      <c r="E51" s="887" t="s">
        <v>1029</v>
      </c>
      <c r="F51" s="894">
        <v>9.99</v>
      </c>
      <c r="G51" s="897">
        <f>SUM(F49:F51)</f>
        <v>1510.61</v>
      </c>
      <c r="H51" s="895"/>
      <c r="I51" s="898">
        <f t="shared" si="1"/>
        <v>31692.409999999989</v>
      </c>
      <c r="J51" s="423"/>
      <c r="K51" s="896">
        <f t="shared" si="0"/>
        <v>9.99</v>
      </c>
      <c r="L51" s="926">
        <v>1.66</v>
      </c>
      <c r="M51" s="902"/>
      <c r="N51" s="927"/>
      <c r="O51" s="926"/>
      <c r="P51" s="926"/>
      <c r="Q51" s="926"/>
      <c r="R51" s="926">
        <v>8.33</v>
      </c>
      <c r="S51" s="926"/>
      <c r="T51" s="926"/>
      <c r="U51" s="926"/>
      <c r="V51" s="926"/>
      <c r="W51" s="926"/>
      <c r="X51" s="926"/>
      <c r="Y51" s="927"/>
      <c r="Z51" s="927"/>
      <c r="AA51" s="927"/>
      <c r="AB51" s="927"/>
      <c r="AC51" s="927"/>
      <c r="AD51" s="927"/>
      <c r="AE51" s="927"/>
      <c r="AF51" s="928"/>
      <c r="AG51" s="928"/>
      <c r="AH51" s="926"/>
      <c r="AI51" s="926"/>
      <c r="AJ51" s="926"/>
      <c r="AK51" s="929"/>
      <c r="AL51" s="929"/>
      <c r="AM51" s="929"/>
      <c r="AN51" s="929"/>
      <c r="AO51" s="929"/>
      <c r="AP51" s="930"/>
      <c r="AQ51" s="930"/>
      <c r="AR51" s="930"/>
      <c r="AS51" s="930"/>
      <c r="AT51" s="930"/>
      <c r="AU51" s="930"/>
      <c r="AV51" s="930"/>
      <c r="AW51" s="929"/>
      <c r="AX51" s="931"/>
      <c r="AY51" s="932"/>
    </row>
    <row r="52" spans="2:51" s="160" customFormat="1" x14ac:dyDescent="0.3">
      <c r="B52" s="890">
        <v>45841</v>
      </c>
      <c r="C52" s="891">
        <v>0</v>
      </c>
      <c r="D52" s="892" t="s">
        <v>1032</v>
      </c>
      <c r="E52" s="887" t="s">
        <v>1033</v>
      </c>
      <c r="F52" s="894">
        <v>195.35</v>
      </c>
      <c r="G52" s="897">
        <v>195.35</v>
      </c>
      <c r="H52" s="895"/>
      <c r="I52" s="898">
        <f t="shared" si="1"/>
        <v>31497.05999999999</v>
      </c>
      <c r="J52" s="423"/>
      <c r="K52" s="896">
        <f t="shared" si="0"/>
        <v>195.35</v>
      </c>
      <c r="L52" s="926">
        <v>0</v>
      </c>
      <c r="M52" s="902"/>
      <c r="N52" s="927"/>
      <c r="O52" s="926"/>
      <c r="P52" s="926"/>
      <c r="Q52" s="926"/>
      <c r="R52" s="926"/>
      <c r="S52" s="926"/>
      <c r="T52" s="926"/>
      <c r="U52" s="926"/>
      <c r="V52" s="926"/>
      <c r="W52" s="926"/>
      <c r="X52" s="926"/>
      <c r="Y52" s="927"/>
      <c r="Z52" s="927"/>
      <c r="AA52" s="927"/>
      <c r="AB52" s="927"/>
      <c r="AC52" s="927"/>
      <c r="AD52" s="927"/>
      <c r="AE52" s="927"/>
      <c r="AF52" s="928"/>
      <c r="AG52" s="928"/>
      <c r="AH52" s="926"/>
      <c r="AI52" s="926"/>
      <c r="AJ52" s="926"/>
      <c r="AK52" s="929"/>
      <c r="AL52" s="929"/>
      <c r="AM52" s="929"/>
      <c r="AN52" s="929"/>
      <c r="AO52" s="929">
        <v>195.35</v>
      </c>
      <c r="AP52" s="930"/>
      <c r="AQ52" s="930"/>
      <c r="AR52" s="930"/>
      <c r="AS52" s="930"/>
      <c r="AT52" s="930"/>
      <c r="AU52" s="930"/>
      <c r="AV52" s="930"/>
      <c r="AW52" s="929"/>
      <c r="AX52" s="931"/>
      <c r="AY52" s="932"/>
    </row>
    <row r="53" spans="2:51" s="160" customFormat="1" x14ac:dyDescent="0.3">
      <c r="B53" s="890">
        <v>45841</v>
      </c>
      <c r="C53" s="891">
        <v>0</v>
      </c>
      <c r="D53" s="892" t="s">
        <v>1035</v>
      </c>
      <c r="E53" s="887" t="s">
        <v>1034</v>
      </c>
      <c r="F53" s="894">
        <v>412.98</v>
      </c>
      <c r="G53" s="897">
        <v>412.98</v>
      </c>
      <c r="H53" s="895"/>
      <c r="I53" s="898">
        <f t="shared" si="1"/>
        <v>31084.079999999991</v>
      </c>
      <c r="J53" s="423"/>
      <c r="K53" s="896">
        <f t="shared" si="0"/>
        <v>412.98</v>
      </c>
      <c r="L53" s="926">
        <v>0</v>
      </c>
      <c r="M53" s="902"/>
      <c r="N53" s="927"/>
      <c r="O53" s="926">
        <v>168.49</v>
      </c>
      <c r="P53" s="926"/>
      <c r="Q53" s="926">
        <v>195.69</v>
      </c>
      <c r="R53" s="926"/>
      <c r="S53" s="926"/>
      <c r="T53" s="926"/>
      <c r="U53" s="926"/>
      <c r="V53" s="926"/>
      <c r="W53" s="926"/>
      <c r="X53" s="926"/>
      <c r="Y53" s="927"/>
      <c r="Z53" s="927"/>
      <c r="AA53" s="927"/>
      <c r="AB53" s="927"/>
      <c r="AC53" s="927"/>
      <c r="AD53" s="927"/>
      <c r="AE53" s="927"/>
      <c r="AF53" s="928"/>
      <c r="AG53" s="928"/>
      <c r="AH53" s="926"/>
      <c r="AI53" s="926"/>
      <c r="AJ53" s="926"/>
      <c r="AK53" s="929"/>
      <c r="AL53" s="929"/>
      <c r="AM53" s="929"/>
      <c r="AN53" s="929"/>
      <c r="AO53" s="929">
        <v>48.8</v>
      </c>
      <c r="AP53" s="930"/>
      <c r="AQ53" s="930"/>
      <c r="AR53" s="930"/>
      <c r="AS53" s="930"/>
      <c r="AT53" s="930"/>
      <c r="AU53" s="930"/>
      <c r="AV53" s="930"/>
      <c r="AW53" s="929"/>
      <c r="AX53" s="931"/>
      <c r="AY53" s="932"/>
    </row>
    <row r="54" spans="2:51" s="160" customFormat="1" x14ac:dyDescent="0.3">
      <c r="B54" s="890">
        <v>45841</v>
      </c>
      <c r="C54" s="891">
        <v>0</v>
      </c>
      <c r="D54" s="892" t="s">
        <v>1036</v>
      </c>
      <c r="E54" s="887" t="s">
        <v>1037</v>
      </c>
      <c r="F54" s="894">
        <v>483.77</v>
      </c>
      <c r="G54" s="897">
        <v>483.77</v>
      </c>
      <c r="H54" s="895"/>
      <c r="I54" s="898">
        <f t="shared" si="1"/>
        <v>30600.30999999999</v>
      </c>
      <c r="J54" s="423"/>
      <c r="K54" s="896">
        <f t="shared" si="0"/>
        <v>483.77</v>
      </c>
      <c r="L54" s="926">
        <v>0</v>
      </c>
      <c r="M54" s="902"/>
      <c r="N54" s="927"/>
      <c r="O54" s="926">
        <v>99.85</v>
      </c>
      <c r="P54" s="926">
        <v>383.92</v>
      </c>
      <c r="Q54" s="926"/>
      <c r="R54" s="926"/>
      <c r="S54" s="926"/>
      <c r="T54" s="926"/>
      <c r="U54" s="926"/>
      <c r="V54" s="926"/>
      <c r="W54" s="926"/>
      <c r="X54" s="926"/>
      <c r="Y54" s="927"/>
      <c r="Z54" s="927"/>
      <c r="AA54" s="927"/>
      <c r="AB54" s="927"/>
      <c r="AC54" s="927"/>
      <c r="AD54" s="927"/>
      <c r="AE54" s="927"/>
      <c r="AF54" s="928"/>
      <c r="AG54" s="928"/>
      <c r="AH54" s="926"/>
      <c r="AI54" s="926"/>
      <c r="AJ54" s="926"/>
      <c r="AK54" s="929"/>
      <c r="AL54" s="929"/>
      <c r="AM54" s="929"/>
      <c r="AN54" s="929"/>
      <c r="AO54" s="929"/>
      <c r="AP54" s="930"/>
      <c r="AQ54" s="930"/>
      <c r="AR54" s="930"/>
      <c r="AS54" s="930"/>
      <c r="AT54" s="930"/>
      <c r="AU54" s="930"/>
      <c r="AV54" s="930"/>
      <c r="AW54" s="929"/>
      <c r="AX54" s="931"/>
      <c r="AY54" s="932"/>
    </row>
    <row r="55" spans="2:51" s="160" customFormat="1" x14ac:dyDescent="0.3">
      <c r="B55" s="890">
        <v>45841</v>
      </c>
      <c r="C55" s="891">
        <v>0</v>
      </c>
      <c r="D55" s="892" t="s">
        <v>1038</v>
      </c>
      <c r="E55" s="887" t="s">
        <v>1039</v>
      </c>
      <c r="F55" s="894">
        <v>1453.06</v>
      </c>
      <c r="G55" s="895"/>
      <c r="H55" s="895"/>
      <c r="I55" s="898">
        <f t="shared" si="1"/>
        <v>30600.30999999999</v>
      </c>
      <c r="J55" s="423"/>
      <c r="K55" s="896">
        <f t="shared" si="0"/>
        <v>1453.06</v>
      </c>
      <c r="L55" s="926">
        <v>0</v>
      </c>
      <c r="M55" s="902"/>
      <c r="N55" s="927"/>
      <c r="O55" s="926">
        <v>1237.8599999999999</v>
      </c>
      <c r="P55" s="926"/>
      <c r="Q55" s="926"/>
      <c r="R55" s="926"/>
      <c r="S55" s="926"/>
      <c r="T55" s="926"/>
      <c r="U55" s="926"/>
      <c r="V55" s="926"/>
      <c r="W55" s="926"/>
      <c r="X55" s="926"/>
      <c r="Y55" s="927"/>
      <c r="Z55" s="927"/>
      <c r="AA55" s="927"/>
      <c r="AB55" s="927"/>
      <c r="AC55" s="927"/>
      <c r="AD55" s="927"/>
      <c r="AE55" s="927"/>
      <c r="AF55" s="928"/>
      <c r="AG55" s="928"/>
      <c r="AH55" s="926"/>
      <c r="AI55" s="926"/>
      <c r="AJ55" s="926"/>
      <c r="AK55" s="929"/>
      <c r="AL55" s="929"/>
      <c r="AM55" s="929"/>
      <c r="AN55" s="929">
        <v>215.2</v>
      </c>
      <c r="AO55" s="929"/>
      <c r="AP55" s="930"/>
      <c r="AQ55" s="930"/>
      <c r="AR55" s="930"/>
      <c r="AS55" s="930"/>
      <c r="AT55" s="930"/>
      <c r="AU55" s="930"/>
      <c r="AV55" s="930"/>
      <c r="AW55" s="929"/>
      <c r="AX55" s="931"/>
      <c r="AY55" s="932"/>
    </row>
    <row r="56" spans="2:51" s="160" customFormat="1" x14ac:dyDescent="0.3">
      <c r="B56" s="890">
        <v>45841</v>
      </c>
      <c r="C56" s="891">
        <v>724594615</v>
      </c>
      <c r="D56" s="892" t="s">
        <v>1040</v>
      </c>
      <c r="E56" s="887" t="s">
        <v>1039</v>
      </c>
      <c r="F56" s="894">
        <v>47.56</v>
      </c>
      <c r="G56" s="897">
        <f>SUM(F55:F56)</f>
        <v>1500.62</v>
      </c>
      <c r="H56" s="895"/>
      <c r="I56" s="898">
        <f t="shared" si="1"/>
        <v>29099.689999999991</v>
      </c>
      <c r="J56" s="423"/>
      <c r="K56" s="896">
        <f t="shared" si="0"/>
        <v>47.56</v>
      </c>
      <c r="L56" s="926">
        <v>2.06</v>
      </c>
      <c r="M56" s="902"/>
      <c r="N56" s="927"/>
      <c r="O56" s="926"/>
      <c r="P56" s="926"/>
      <c r="Q56" s="926"/>
      <c r="R56" s="926">
        <v>45.5</v>
      </c>
      <c r="S56" s="926"/>
      <c r="T56" s="926"/>
      <c r="U56" s="926"/>
      <c r="V56" s="926"/>
      <c r="W56" s="926"/>
      <c r="X56" s="926"/>
      <c r="Y56" s="927"/>
      <c r="Z56" s="927"/>
      <c r="AA56" s="927"/>
      <c r="AB56" s="927"/>
      <c r="AC56" s="927"/>
      <c r="AD56" s="927"/>
      <c r="AE56" s="927"/>
      <c r="AF56" s="928"/>
      <c r="AG56" s="928"/>
      <c r="AH56" s="926"/>
      <c r="AI56" s="926"/>
      <c r="AJ56" s="926"/>
      <c r="AK56" s="929"/>
      <c r="AL56" s="929"/>
      <c r="AM56" s="929"/>
      <c r="AN56" s="929"/>
      <c r="AO56" s="929"/>
      <c r="AP56" s="930"/>
      <c r="AQ56" s="930"/>
      <c r="AR56" s="930"/>
      <c r="AS56" s="930"/>
      <c r="AT56" s="930"/>
      <c r="AU56" s="930"/>
      <c r="AV56" s="930"/>
      <c r="AW56" s="929"/>
      <c r="AX56" s="931"/>
      <c r="AY56" s="932"/>
    </row>
    <row r="57" spans="2:51" s="160" customFormat="1" x14ac:dyDescent="0.3">
      <c r="B57" s="890">
        <v>45841</v>
      </c>
      <c r="C57" s="891">
        <v>0</v>
      </c>
      <c r="D57" s="892" t="s">
        <v>1041</v>
      </c>
      <c r="E57" s="887" t="s">
        <v>1042</v>
      </c>
      <c r="F57" s="894">
        <v>149.13</v>
      </c>
      <c r="G57" s="897">
        <v>149.13</v>
      </c>
      <c r="H57" s="895"/>
      <c r="I57" s="898">
        <f t="shared" si="1"/>
        <v>28950.55999999999</v>
      </c>
      <c r="J57" s="423"/>
      <c r="K57" s="896">
        <f t="shared" si="0"/>
        <v>149.13</v>
      </c>
      <c r="L57" s="926">
        <v>0</v>
      </c>
      <c r="M57" s="902"/>
      <c r="N57" s="927"/>
      <c r="O57" s="926"/>
      <c r="P57" s="926"/>
      <c r="Q57" s="926"/>
      <c r="R57" s="926"/>
      <c r="S57" s="926"/>
      <c r="T57" s="926"/>
      <c r="U57" s="926"/>
      <c r="V57" s="926"/>
      <c r="W57" s="926"/>
      <c r="X57" s="926"/>
      <c r="Y57" s="927"/>
      <c r="Z57" s="927"/>
      <c r="AA57" s="927"/>
      <c r="AB57" s="927"/>
      <c r="AC57" s="927"/>
      <c r="AD57" s="927"/>
      <c r="AE57" s="927"/>
      <c r="AF57" s="928"/>
      <c r="AG57" s="928"/>
      <c r="AH57" s="926"/>
      <c r="AI57" s="926"/>
      <c r="AJ57" s="926"/>
      <c r="AK57" s="929"/>
      <c r="AL57" s="929"/>
      <c r="AM57" s="929"/>
      <c r="AN57" s="929"/>
      <c r="AO57" s="929">
        <v>149.13</v>
      </c>
      <c r="AP57" s="930"/>
      <c r="AQ57" s="930"/>
      <c r="AR57" s="930"/>
      <c r="AS57" s="930"/>
      <c r="AT57" s="930"/>
      <c r="AU57" s="930"/>
      <c r="AV57" s="930"/>
      <c r="AW57" s="929"/>
      <c r="AX57" s="931"/>
      <c r="AY57" s="932"/>
    </row>
    <row r="58" spans="2:51" s="160" customFormat="1" x14ac:dyDescent="0.3">
      <c r="B58" s="890">
        <v>45841</v>
      </c>
      <c r="C58" s="891">
        <v>0</v>
      </c>
      <c r="D58" s="892" t="s">
        <v>1043</v>
      </c>
      <c r="E58" s="887" t="s">
        <v>1044</v>
      </c>
      <c r="F58" s="894">
        <v>401.58</v>
      </c>
      <c r="G58" s="897">
        <v>401.58</v>
      </c>
      <c r="H58" s="895"/>
      <c r="I58" s="898">
        <f t="shared" si="1"/>
        <v>28548.979999999989</v>
      </c>
      <c r="J58" s="423"/>
      <c r="K58" s="896">
        <f t="shared" si="0"/>
        <v>401.58</v>
      </c>
      <c r="L58" s="926">
        <v>0</v>
      </c>
      <c r="M58" s="902"/>
      <c r="N58" s="927"/>
      <c r="O58" s="926">
        <v>168.69</v>
      </c>
      <c r="P58" s="926"/>
      <c r="Q58" s="926">
        <v>195.69</v>
      </c>
      <c r="R58" s="926"/>
      <c r="S58" s="926"/>
      <c r="T58" s="926"/>
      <c r="U58" s="926"/>
      <c r="V58" s="926"/>
      <c r="W58" s="926"/>
      <c r="X58" s="926"/>
      <c r="Y58" s="927"/>
      <c r="Z58" s="927"/>
      <c r="AA58" s="927"/>
      <c r="AB58" s="927"/>
      <c r="AC58" s="927"/>
      <c r="AD58" s="927"/>
      <c r="AE58" s="927"/>
      <c r="AF58" s="928"/>
      <c r="AG58" s="928"/>
      <c r="AH58" s="926"/>
      <c r="AI58" s="926"/>
      <c r="AJ58" s="926"/>
      <c r="AK58" s="929"/>
      <c r="AL58" s="929"/>
      <c r="AM58" s="929"/>
      <c r="AN58" s="929"/>
      <c r="AO58" s="929">
        <v>37.200000000000003</v>
      </c>
      <c r="AP58" s="930"/>
      <c r="AQ58" s="930"/>
      <c r="AR58" s="930"/>
      <c r="AS58" s="930"/>
      <c r="AT58" s="930"/>
      <c r="AU58" s="930"/>
      <c r="AV58" s="930"/>
      <c r="AW58" s="929"/>
      <c r="AX58" s="931"/>
      <c r="AY58" s="932"/>
    </row>
    <row r="59" spans="2:51" s="160" customFormat="1" x14ac:dyDescent="0.3">
      <c r="B59" s="890">
        <v>45841</v>
      </c>
      <c r="C59" s="891">
        <v>0</v>
      </c>
      <c r="D59" s="892" t="s">
        <v>1045</v>
      </c>
      <c r="E59" s="887" t="s">
        <v>1046</v>
      </c>
      <c r="F59" s="894">
        <v>483.77</v>
      </c>
      <c r="G59" s="897">
        <v>483.77</v>
      </c>
      <c r="H59" s="895"/>
      <c r="I59" s="898">
        <f t="shared" si="1"/>
        <v>28065.209999999988</v>
      </c>
      <c r="J59" s="423"/>
      <c r="K59" s="896">
        <f t="shared" si="0"/>
        <v>483.77</v>
      </c>
      <c r="L59" s="926">
        <v>0</v>
      </c>
      <c r="M59" s="902"/>
      <c r="N59" s="927"/>
      <c r="O59" s="926">
        <v>99.85</v>
      </c>
      <c r="P59" s="926">
        <v>383.92</v>
      </c>
      <c r="Q59" s="926"/>
      <c r="R59" s="926"/>
      <c r="S59" s="926"/>
      <c r="T59" s="926"/>
      <c r="U59" s="926"/>
      <c r="V59" s="926"/>
      <c r="W59" s="926"/>
      <c r="X59" s="926"/>
      <c r="Y59" s="927"/>
      <c r="Z59" s="927"/>
      <c r="AA59" s="927"/>
      <c r="AB59" s="927"/>
      <c r="AC59" s="927"/>
      <c r="AD59" s="927"/>
      <c r="AE59" s="927"/>
      <c r="AF59" s="928"/>
      <c r="AG59" s="928"/>
      <c r="AH59" s="926"/>
      <c r="AI59" s="926"/>
      <c r="AJ59" s="926"/>
      <c r="AK59" s="929"/>
      <c r="AL59" s="929"/>
      <c r="AM59" s="929"/>
      <c r="AN59" s="929"/>
      <c r="AO59" s="929"/>
      <c r="AP59" s="930"/>
      <c r="AQ59" s="930"/>
      <c r="AR59" s="930"/>
      <c r="AS59" s="930"/>
      <c r="AT59" s="930"/>
      <c r="AU59" s="930"/>
      <c r="AV59" s="930"/>
      <c r="AW59" s="929"/>
      <c r="AX59" s="931"/>
      <c r="AY59" s="932"/>
    </row>
    <row r="60" spans="2:51" s="160" customFormat="1" x14ac:dyDescent="0.3">
      <c r="B60" s="890">
        <v>45841</v>
      </c>
      <c r="C60" s="891">
        <v>406821467</v>
      </c>
      <c r="D60" s="892" t="s">
        <v>1047</v>
      </c>
      <c r="E60" s="887" t="s">
        <v>1048</v>
      </c>
      <c r="F60" s="894">
        <v>88.2</v>
      </c>
      <c r="G60" s="897">
        <v>88.2</v>
      </c>
      <c r="H60" s="895"/>
      <c r="I60" s="898">
        <f t="shared" si="1"/>
        <v>27977.009999999987</v>
      </c>
      <c r="J60" s="423"/>
      <c r="K60" s="896">
        <f t="shared" si="0"/>
        <v>88.2</v>
      </c>
      <c r="L60" s="926">
        <v>14.7</v>
      </c>
      <c r="M60" s="902"/>
      <c r="N60" s="927"/>
      <c r="O60" s="926"/>
      <c r="P60" s="926"/>
      <c r="Q60" s="926"/>
      <c r="R60" s="926"/>
      <c r="S60" s="926"/>
      <c r="T60" s="926"/>
      <c r="U60" s="926"/>
      <c r="V60" s="926"/>
      <c r="W60" s="926"/>
      <c r="X60" s="926"/>
      <c r="Y60" s="927"/>
      <c r="Z60" s="927"/>
      <c r="AA60" s="927"/>
      <c r="AB60" s="927"/>
      <c r="AC60" s="927"/>
      <c r="AD60" s="927"/>
      <c r="AE60" s="927"/>
      <c r="AF60" s="928"/>
      <c r="AG60" s="928"/>
      <c r="AH60" s="926"/>
      <c r="AI60" s="926"/>
      <c r="AJ60" s="926"/>
      <c r="AK60" s="929"/>
      <c r="AL60" s="929"/>
      <c r="AM60" s="929"/>
      <c r="AN60" s="929"/>
      <c r="AO60" s="929"/>
      <c r="AP60" s="930"/>
      <c r="AQ60" s="930">
        <v>73.5</v>
      </c>
      <c r="AR60" s="930"/>
      <c r="AS60" s="930"/>
      <c r="AT60" s="930"/>
      <c r="AU60" s="930"/>
      <c r="AV60" s="930"/>
      <c r="AW60" s="929"/>
      <c r="AX60" s="931"/>
      <c r="AY60" s="932"/>
    </row>
    <row r="61" spans="2:51" s="160" customFormat="1" x14ac:dyDescent="0.3">
      <c r="B61" s="890">
        <v>45841</v>
      </c>
      <c r="C61" s="891">
        <v>185855613</v>
      </c>
      <c r="D61" s="892" t="s">
        <v>1050</v>
      </c>
      <c r="E61" s="887" t="s">
        <v>1049</v>
      </c>
      <c r="F61" s="894">
        <v>1188</v>
      </c>
      <c r="G61" s="895"/>
      <c r="H61" s="895"/>
      <c r="I61" s="898">
        <f t="shared" si="1"/>
        <v>27977.009999999987</v>
      </c>
      <c r="J61" s="423"/>
      <c r="K61" s="896">
        <f t="shared" si="0"/>
        <v>1188</v>
      </c>
      <c r="L61" s="926">
        <v>198</v>
      </c>
      <c r="M61" s="902"/>
      <c r="N61" s="927"/>
      <c r="O61" s="926"/>
      <c r="P61" s="926"/>
      <c r="Q61" s="926"/>
      <c r="R61" s="926"/>
      <c r="S61" s="926"/>
      <c r="T61" s="926"/>
      <c r="U61" s="926"/>
      <c r="V61" s="926"/>
      <c r="W61" s="926"/>
      <c r="X61" s="926"/>
      <c r="Y61" s="927"/>
      <c r="Z61" s="927"/>
      <c r="AA61" s="927"/>
      <c r="AB61" s="927"/>
      <c r="AC61" s="927"/>
      <c r="AD61" s="927"/>
      <c r="AE61" s="927"/>
      <c r="AF61" s="928"/>
      <c r="AG61" s="928"/>
      <c r="AH61" s="926"/>
      <c r="AI61" s="926"/>
      <c r="AJ61" s="926"/>
      <c r="AK61" s="929"/>
      <c r="AL61" s="929"/>
      <c r="AM61" s="929"/>
      <c r="AN61" s="929"/>
      <c r="AO61" s="929"/>
      <c r="AP61" s="930"/>
      <c r="AQ61" s="930">
        <v>990</v>
      </c>
      <c r="AR61" s="930"/>
      <c r="AS61" s="930"/>
      <c r="AT61" s="930"/>
      <c r="AU61" s="930"/>
      <c r="AV61" s="930"/>
      <c r="AW61" s="929"/>
      <c r="AX61" s="931"/>
      <c r="AY61" s="932"/>
    </row>
    <row r="62" spans="2:51" s="160" customFormat="1" x14ac:dyDescent="0.3">
      <c r="B62" s="890">
        <v>45841</v>
      </c>
      <c r="C62" s="891">
        <v>185855613</v>
      </c>
      <c r="D62" s="892" t="s">
        <v>1051</v>
      </c>
      <c r="E62" s="887" t="s">
        <v>1049</v>
      </c>
      <c r="F62" s="894">
        <v>456</v>
      </c>
      <c r="G62" s="895"/>
      <c r="H62" s="895"/>
      <c r="I62" s="898">
        <f t="shared" si="1"/>
        <v>27977.009999999987</v>
      </c>
      <c r="J62" s="423"/>
      <c r="K62" s="896">
        <f t="shared" si="0"/>
        <v>456</v>
      </c>
      <c r="L62" s="926">
        <v>76</v>
      </c>
      <c r="M62" s="902"/>
      <c r="N62" s="927"/>
      <c r="O62" s="926"/>
      <c r="P62" s="926"/>
      <c r="Q62" s="926"/>
      <c r="R62" s="926"/>
      <c r="S62" s="926"/>
      <c r="T62" s="926"/>
      <c r="U62" s="926"/>
      <c r="V62" s="926"/>
      <c r="W62" s="926"/>
      <c r="X62" s="926"/>
      <c r="Y62" s="927"/>
      <c r="Z62" s="927"/>
      <c r="AA62" s="927"/>
      <c r="AB62" s="927"/>
      <c r="AC62" s="927"/>
      <c r="AD62" s="927"/>
      <c r="AE62" s="927"/>
      <c r="AF62" s="928"/>
      <c r="AG62" s="928"/>
      <c r="AH62" s="926"/>
      <c r="AI62" s="926"/>
      <c r="AJ62" s="926"/>
      <c r="AK62" s="929">
        <v>380</v>
      </c>
      <c r="AL62" s="929"/>
      <c r="AM62" s="929"/>
      <c r="AN62" s="929"/>
      <c r="AO62" s="929"/>
      <c r="AP62" s="930"/>
      <c r="AQ62" s="930"/>
      <c r="AR62" s="930"/>
      <c r="AS62" s="930"/>
      <c r="AT62" s="930"/>
      <c r="AU62" s="930"/>
      <c r="AV62" s="930"/>
      <c r="AW62" s="929"/>
      <c r="AX62" s="931"/>
      <c r="AY62" s="932"/>
    </row>
    <row r="63" spans="2:51" s="160" customFormat="1" x14ac:dyDescent="0.3">
      <c r="B63" s="890">
        <v>45841</v>
      </c>
      <c r="C63" s="891">
        <v>185855613</v>
      </c>
      <c r="D63" s="892" t="s">
        <v>1052</v>
      </c>
      <c r="E63" s="887" t="s">
        <v>1049</v>
      </c>
      <c r="F63" s="894">
        <v>13992</v>
      </c>
      <c r="G63" s="897">
        <f>SUM(F61:F63)</f>
        <v>15636</v>
      </c>
      <c r="H63" s="895"/>
      <c r="I63" s="898">
        <f t="shared" si="1"/>
        <v>12341.009999999987</v>
      </c>
      <c r="J63" s="423"/>
      <c r="K63" s="896">
        <f t="shared" si="0"/>
        <v>13992</v>
      </c>
      <c r="L63" s="926">
        <v>2332</v>
      </c>
      <c r="M63" s="902"/>
      <c r="N63" s="927"/>
      <c r="O63" s="926"/>
      <c r="P63" s="926"/>
      <c r="Q63" s="926"/>
      <c r="R63" s="926"/>
      <c r="S63" s="926"/>
      <c r="T63" s="926"/>
      <c r="U63" s="926"/>
      <c r="V63" s="926"/>
      <c r="W63" s="926"/>
      <c r="X63" s="926"/>
      <c r="Y63" s="927"/>
      <c r="Z63" s="927"/>
      <c r="AA63" s="927"/>
      <c r="AB63" s="927"/>
      <c r="AC63" s="927"/>
      <c r="AD63" s="927"/>
      <c r="AE63" s="927"/>
      <c r="AF63" s="928"/>
      <c r="AG63" s="928"/>
      <c r="AH63" s="926"/>
      <c r="AI63" s="926"/>
      <c r="AJ63" s="926"/>
      <c r="AK63" s="929">
        <v>11660</v>
      </c>
      <c r="AL63" s="929"/>
      <c r="AM63" s="929"/>
      <c r="AN63" s="929"/>
      <c r="AO63" s="929"/>
      <c r="AP63" s="930"/>
      <c r="AQ63" s="930"/>
      <c r="AR63" s="930"/>
      <c r="AS63" s="930"/>
      <c r="AT63" s="930"/>
      <c r="AU63" s="930"/>
      <c r="AV63" s="930"/>
      <c r="AW63" s="929"/>
      <c r="AX63" s="931"/>
      <c r="AY63" s="932"/>
    </row>
    <row r="64" spans="2:51" s="160" customFormat="1" x14ac:dyDescent="0.3">
      <c r="B64" s="890">
        <v>45841</v>
      </c>
      <c r="C64" s="891">
        <v>0</v>
      </c>
      <c r="D64" s="892" t="s">
        <v>1053</v>
      </c>
      <c r="E64" s="887" t="s">
        <v>1054</v>
      </c>
      <c r="F64" s="894">
        <v>60</v>
      </c>
      <c r="G64" s="897">
        <v>60</v>
      </c>
      <c r="H64" s="895"/>
      <c r="I64" s="898">
        <f t="shared" si="1"/>
        <v>12281.009999999987</v>
      </c>
      <c r="J64" s="423"/>
      <c r="K64" s="896">
        <f t="shared" si="0"/>
        <v>60</v>
      </c>
      <c r="L64" s="926">
        <v>0</v>
      </c>
      <c r="M64" s="902"/>
      <c r="N64" s="927"/>
      <c r="O64" s="926"/>
      <c r="P64" s="926"/>
      <c r="Q64" s="926"/>
      <c r="R64" s="926">
        <v>60</v>
      </c>
      <c r="S64" s="926"/>
      <c r="T64" s="926"/>
      <c r="U64" s="926"/>
      <c r="V64" s="926"/>
      <c r="W64" s="926"/>
      <c r="X64" s="926"/>
      <c r="Y64" s="927"/>
      <c r="Z64" s="927"/>
      <c r="AA64" s="927"/>
      <c r="AB64" s="927"/>
      <c r="AC64" s="927"/>
      <c r="AD64" s="927"/>
      <c r="AE64" s="927"/>
      <c r="AF64" s="928"/>
      <c r="AG64" s="928"/>
      <c r="AH64" s="926"/>
      <c r="AI64" s="926"/>
      <c r="AJ64" s="926"/>
      <c r="AK64" s="929"/>
      <c r="AL64" s="929"/>
      <c r="AM64" s="929"/>
      <c r="AN64" s="929"/>
      <c r="AO64" s="929"/>
      <c r="AP64" s="930"/>
      <c r="AQ64" s="930"/>
      <c r="AR64" s="930"/>
      <c r="AS64" s="930"/>
      <c r="AT64" s="930"/>
      <c r="AU64" s="930"/>
      <c r="AV64" s="930"/>
      <c r="AW64" s="929"/>
      <c r="AX64" s="931"/>
      <c r="AY64" s="932"/>
    </row>
    <row r="65" spans="2:51" s="160" customFormat="1" x14ac:dyDescent="0.3">
      <c r="B65" s="890">
        <v>45841</v>
      </c>
      <c r="C65" s="891">
        <v>220430231</v>
      </c>
      <c r="D65" s="892" t="s">
        <v>1057</v>
      </c>
      <c r="E65" s="887" t="s">
        <v>1058</v>
      </c>
      <c r="F65" s="894">
        <v>57.78</v>
      </c>
      <c r="G65" s="895"/>
      <c r="H65" s="895"/>
      <c r="I65" s="898">
        <f>I64-G65+H65</f>
        <v>12281.009999999987</v>
      </c>
      <c r="J65" s="423"/>
      <c r="K65" s="896">
        <f t="shared" si="0"/>
        <v>57.78</v>
      </c>
      <c r="L65" s="926">
        <v>9.6300000000000008</v>
      </c>
      <c r="M65" s="902"/>
      <c r="N65" s="927"/>
      <c r="O65" s="926"/>
      <c r="P65" s="926"/>
      <c r="Q65" s="926"/>
      <c r="R65" s="926"/>
      <c r="S65" s="926"/>
      <c r="T65" s="926"/>
      <c r="U65" s="926"/>
      <c r="V65" s="926"/>
      <c r="W65" s="926"/>
      <c r="X65" s="926"/>
      <c r="Y65" s="927"/>
      <c r="Z65" s="927"/>
      <c r="AA65" s="927"/>
      <c r="AB65" s="927"/>
      <c r="AC65" s="927"/>
      <c r="AD65" s="927"/>
      <c r="AE65" s="927"/>
      <c r="AF65" s="928"/>
      <c r="AG65" s="928"/>
      <c r="AH65" s="926"/>
      <c r="AI65" s="926"/>
      <c r="AJ65" s="926"/>
      <c r="AK65" s="929"/>
      <c r="AL65" s="929"/>
      <c r="AM65" s="929"/>
      <c r="AN65" s="929"/>
      <c r="AO65" s="929"/>
      <c r="AP65" s="930"/>
      <c r="AQ65" s="930"/>
      <c r="AR65" s="930"/>
      <c r="AS65" s="930">
        <v>48.15</v>
      </c>
      <c r="AT65" s="930"/>
      <c r="AU65" s="930"/>
      <c r="AV65" s="930"/>
      <c r="AW65" s="929"/>
      <c r="AX65" s="931"/>
      <c r="AY65" s="932"/>
    </row>
    <row r="66" spans="2:51" s="160" customFormat="1" x14ac:dyDescent="0.3">
      <c r="B66" s="890">
        <v>45841</v>
      </c>
      <c r="C66" s="891">
        <v>343475355</v>
      </c>
      <c r="D66" s="892" t="s">
        <v>1059</v>
      </c>
      <c r="E66" s="887" t="s">
        <v>1058</v>
      </c>
      <c r="F66" s="894">
        <v>30.15</v>
      </c>
      <c r="G66" s="897">
        <f>SUM(F65:F66)</f>
        <v>87.93</v>
      </c>
      <c r="H66" s="895"/>
      <c r="I66" s="898">
        <f t="shared" si="1"/>
        <v>12193.079999999987</v>
      </c>
      <c r="J66" s="423"/>
      <c r="K66" s="896">
        <f t="shared" si="0"/>
        <v>30.150000000000002</v>
      </c>
      <c r="L66" s="926">
        <v>5.03</v>
      </c>
      <c r="M66" s="902"/>
      <c r="N66" s="927"/>
      <c r="O66" s="926"/>
      <c r="P66" s="926"/>
      <c r="Q66" s="926"/>
      <c r="R66" s="926"/>
      <c r="S66" s="926"/>
      <c r="T66" s="926"/>
      <c r="U66" s="926"/>
      <c r="V66" s="926"/>
      <c r="W66" s="926"/>
      <c r="X66" s="926"/>
      <c r="Y66" s="927"/>
      <c r="Z66" s="927"/>
      <c r="AA66" s="927"/>
      <c r="AB66" s="927"/>
      <c r="AC66" s="927"/>
      <c r="AD66" s="927"/>
      <c r="AE66" s="927"/>
      <c r="AF66" s="928"/>
      <c r="AG66" s="928"/>
      <c r="AH66" s="926"/>
      <c r="AI66" s="926"/>
      <c r="AJ66" s="926"/>
      <c r="AK66" s="929"/>
      <c r="AL66" s="929"/>
      <c r="AM66" s="929"/>
      <c r="AN66" s="929"/>
      <c r="AO66" s="929"/>
      <c r="AP66" s="930"/>
      <c r="AQ66" s="930"/>
      <c r="AR66" s="930"/>
      <c r="AS66" s="930">
        <v>25.12</v>
      </c>
      <c r="AT66" s="930"/>
      <c r="AU66" s="930"/>
      <c r="AV66" s="930"/>
      <c r="AW66" s="929"/>
      <c r="AX66" s="931"/>
      <c r="AY66" s="932"/>
    </row>
    <row r="67" spans="2:51" s="160" customFormat="1" x14ac:dyDescent="0.3">
      <c r="B67" s="890">
        <v>45847</v>
      </c>
      <c r="C67" s="891">
        <v>131505120</v>
      </c>
      <c r="D67" s="892" t="s">
        <v>1061</v>
      </c>
      <c r="E67" s="887" t="s">
        <v>1060</v>
      </c>
      <c r="F67" s="894">
        <v>322.7</v>
      </c>
      <c r="G67" s="897">
        <v>322.7</v>
      </c>
      <c r="H67" s="895"/>
      <c r="I67" s="898">
        <f t="shared" si="1"/>
        <v>11870.379999999986</v>
      </c>
      <c r="J67" s="423"/>
      <c r="K67" s="896">
        <f t="shared" si="0"/>
        <v>322.70000000000005</v>
      </c>
      <c r="L67" s="926">
        <v>53.78</v>
      </c>
      <c r="M67" s="902"/>
      <c r="N67" s="927"/>
      <c r="O67" s="926"/>
      <c r="P67" s="926"/>
      <c r="Q67" s="926"/>
      <c r="R67" s="926"/>
      <c r="S67" s="926"/>
      <c r="T67" s="926"/>
      <c r="U67" s="926"/>
      <c r="V67" s="926"/>
      <c r="W67" s="926"/>
      <c r="X67" s="926"/>
      <c r="Y67" s="927"/>
      <c r="Z67" s="927"/>
      <c r="AA67" s="927"/>
      <c r="AB67" s="927"/>
      <c r="AC67" s="927"/>
      <c r="AD67" s="927"/>
      <c r="AE67" s="927"/>
      <c r="AF67" s="928"/>
      <c r="AG67" s="928"/>
      <c r="AH67" s="926"/>
      <c r="AI67" s="926"/>
      <c r="AJ67" s="926"/>
      <c r="AK67" s="929"/>
      <c r="AL67" s="929"/>
      <c r="AM67" s="929"/>
      <c r="AN67" s="929"/>
      <c r="AO67" s="929"/>
      <c r="AP67" s="930"/>
      <c r="AQ67" s="930"/>
      <c r="AR67" s="930"/>
      <c r="AS67" s="930"/>
      <c r="AT67" s="930"/>
      <c r="AU67" s="930"/>
      <c r="AV67" s="930"/>
      <c r="AW67" s="929">
        <v>268.92</v>
      </c>
      <c r="AX67" s="931"/>
      <c r="AY67" s="932"/>
    </row>
    <row r="68" spans="2:51" s="160" customFormat="1" x14ac:dyDescent="0.3">
      <c r="B68" s="890">
        <v>45847</v>
      </c>
      <c r="C68" s="891">
        <v>0</v>
      </c>
      <c r="D68" s="892" t="s">
        <v>1062</v>
      </c>
      <c r="E68" s="887" t="s">
        <v>1063</v>
      </c>
      <c r="F68" s="894">
        <v>35</v>
      </c>
      <c r="G68" s="897">
        <v>35</v>
      </c>
      <c r="H68" s="895"/>
      <c r="I68" s="898">
        <f t="shared" si="1"/>
        <v>11835.379999999986</v>
      </c>
      <c r="J68" s="423"/>
      <c r="K68" s="896">
        <f t="shared" si="0"/>
        <v>35</v>
      </c>
      <c r="L68" s="926">
        <v>0</v>
      </c>
      <c r="M68" s="902"/>
      <c r="N68" s="927"/>
      <c r="O68" s="926"/>
      <c r="P68" s="926"/>
      <c r="Q68" s="926"/>
      <c r="R68" s="926"/>
      <c r="S68" s="926"/>
      <c r="T68" s="926"/>
      <c r="U68" s="926"/>
      <c r="V68" s="926"/>
      <c r="W68" s="926"/>
      <c r="X68" s="926"/>
      <c r="Y68" s="927">
        <v>35</v>
      </c>
      <c r="Z68" s="927"/>
      <c r="AA68" s="927"/>
      <c r="AB68" s="927"/>
      <c r="AC68" s="927"/>
      <c r="AD68" s="927"/>
      <c r="AE68" s="927"/>
      <c r="AF68" s="928"/>
      <c r="AG68" s="928"/>
      <c r="AH68" s="926"/>
      <c r="AI68" s="926"/>
      <c r="AJ68" s="926"/>
      <c r="AK68" s="929"/>
      <c r="AL68" s="929"/>
      <c r="AM68" s="929"/>
      <c r="AN68" s="929"/>
      <c r="AO68" s="929"/>
      <c r="AP68" s="930"/>
      <c r="AQ68" s="930"/>
      <c r="AR68" s="930"/>
      <c r="AS68" s="930"/>
      <c r="AT68" s="930"/>
      <c r="AU68" s="930"/>
      <c r="AV68" s="930"/>
      <c r="AW68" s="929"/>
      <c r="AX68" s="931"/>
      <c r="AY68" s="932"/>
    </row>
    <row r="69" spans="2:51" s="160" customFormat="1" x14ac:dyDescent="0.3">
      <c r="B69" s="890">
        <v>45847</v>
      </c>
      <c r="C69" s="891">
        <v>0</v>
      </c>
      <c r="D69" s="892" t="s">
        <v>1064</v>
      </c>
      <c r="E69" s="887" t="s">
        <v>1065</v>
      </c>
      <c r="F69" s="894">
        <v>70</v>
      </c>
      <c r="G69" s="897">
        <v>70</v>
      </c>
      <c r="H69" s="895"/>
      <c r="I69" s="898">
        <f t="shared" si="1"/>
        <v>11765.379999999986</v>
      </c>
      <c r="J69" s="423"/>
      <c r="K69" s="896">
        <f t="shared" si="0"/>
        <v>70</v>
      </c>
      <c r="L69" s="926">
        <v>0</v>
      </c>
      <c r="M69" s="902"/>
      <c r="N69" s="927"/>
      <c r="O69" s="926"/>
      <c r="P69" s="926"/>
      <c r="Q69" s="926"/>
      <c r="R69" s="926"/>
      <c r="S69" s="926"/>
      <c r="T69" s="926"/>
      <c r="U69" s="926"/>
      <c r="V69" s="926"/>
      <c r="W69" s="926"/>
      <c r="X69" s="926"/>
      <c r="Y69" s="927"/>
      <c r="Z69" s="927"/>
      <c r="AA69" s="927"/>
      <c r="AB69" s="927"/>
      <c r="AC69" s="927"/>
      <c r="AD69" s="927"/>
      <c r="AE69" s="927"/>
      <c r="AF69" s="928"/>
      <c r="AG69" s="928"/>
      <c r="AH69" s="926"/>
      <c r="AI69" s="926"/>
      <c r="AJ69" s="926"/>
      <c r="AK69" s="929"/>
      <c r="AL69" s="929"/>
      <c r="AM69" s="929"/>
      <c r="AN69" s="929"/>
      <c r="AO69" s="929"/>
      <c r="AP69" s="930"/>
      <c r="AQ69" s="930">
        <v>70</v>
      </c>
      <c r="AR69" s="930"/>
      <c r="AS69" s="930"/>
      <c r="AT69" s="930"/>
      <c r="AU69" s="930"/>
      <c r="AV69" s="930"/>
      <c r="AW69" s="929"/>
      <c r="AX69" s="931"/>
      <c r="AY69" s="932"/>
    </row>
    <row r="70" spans="2:51" s="160" customFormat="1" x14ac:dyDescent="0.3">
      <c r="B70" s="890">
        <v>45847</v>
      </c>
      <c r="C70" s="891">
        <v>0</v>
      </c>
      <c r="D70" s="892" t="s">
        <v>1066</v>
      </c>
      <c r="E70" s="887" t="s">
        <v>1067</v>
      </c>
      <c r="F70" s="894">
        <v>525</v>
      </c>
      <c r="G70" s="897">
        <v>525</v>
      </c>
      <c r="H70" s="895"/>
      <c r="I70" s="898">
        <f t="shared" si="1"/>
        <v>11240.379999999986</v>
      </c>
      <c r="J70" s="423"/>
      <c r="K70" s="896">
        <f t="shared" si="0"/>
        <v>525</v>
      </c>
      <c r="L70" s="926">
        <v>0</v>
      </c>
      <c r="M70" s="902">
        <v>525</v>
      </c>
      <c r="N70" s="927"/>
      <c r="O70" s="926"/>
      <c r="P70" s="926"/>
      <c r="Q70" s="926"/>
      <c r="R70" s="926"/>
      <c r="S70" s="926"/>
      <c r="T70" s="926"/>
      <c r="U70" s="926"/>
      <c r="V70" s="926"/>
      <c r="W70" s="926"/>
      <c r="X70" s="926"/>
      <c r="Y70" s="927"/>
      <c r="Z70" s="927"/>
      <c r="AA70" s="927"/>
      <c r="AB70" s="927"/>
      <c r="AC70" s="927"/>
      <c r="AD70" s="927"/>
      <c r="AE70" s="927"/>
      <c r="AF70" s="928"/>
      <c r="AG70" s="928"/>
      <c r="AH70" s="926"/>
      <c r="AI70" s="926"/>
      <c r="AJ70" s="926"/>
      <c r="AK70" s="929"/>
      <c r="AL70" s="929"/>
      <c r="AM70" s="929"/>
      <c r="AN70" s="929"/>
      <c r="AO70" s="929"/>
      <c r="AP70" s="930"/>
      <c r="AQ70" s="930"/>
      <c r="AR70" s="930"/>
      <c r="AS70" s="930"/>
      <c r="AT70" s="930"/>
      <c r="AU70" s="930"/>
      <c r="AV70" s="930"/>
      <c r="AW70" s="929"/>
      <c r="AX70" s="931"/>
      <c r="AY70" s="932"/>
    </row>
    <row r="71" spans="2:51" s="160" customFormat="1" x14ac:dyDescent="0.3">
      <c r="B71" s="890">
        <v>45854</v>
      </c>
      <c r="C71" s="891">
        <v>245719348</v>
      </c>
      <c r="D71" s="892" t="s">
        <v>1074</v>
      </c>
      <c r="E71" s="887" t="s">
        <v>1068</v>
      </c>
      <c r="F71" s="894">
        <v>25.43</v>
      </c>
      <c r="G71" s="897">
        <v>25.43</v>
      </c>
      <c r="H71" s="895"/>
      <c r="I71" s="898">
        <f t="shared" si="1"/>
        <v>11214.949999999986</v>
      </c>
      <c r="J71" s="423"/>
      <c r="K71" s="896">
        <f t="shared" si="0"/>
        <v>25.43</v>
      </c>
      <c r="L71" s="926">
        <v>4.24</v>
      </c>
      <c r="M71" s="902"/>
      <c r="N71" s="927"/>
      <c r="O71" s="926"/>
      <c r="P71" s="926"/>
      <c r="Q71" s="926"/>
      <c r="R71" s="926"/>
      <c r="S71" s="926"/>
      <c r="T71" s="926"/>
      <c r="U71" s="926"/>
      <c r="V71" s="926"/>
      <c r="W71" s="926"/>
      <c r="X71" s="926"/>
      <c r="Y71" s="927"/>
      <c r="Z71" s="927"/>
      <c r="AA71" s="927"/>
      <c r="AB71" s="927"/>
      <c r="AC71" s="927"/>
      <c r="AD71" s="927"/>
      <c r="AE71" s="927"/>
      <c r="AF71" s="928"/>
      <c r="AG71" s="928"/>
      <c r="AH71" s="926"/>
      <c r="AI71" s="926"/>
      <c r="AJ71" s="926"/>
      <c r="AK71" s="929"/>
      <c r="AL71" s="929"/>
      <c r="AM71" s="929"/>
      <c r="AN71" s="929"/>
      <c r="AO71" s="929"/>
      <c r="AP71" s="930"/>
      <c r="AQ71" s="930"/>
      <c r="AR71" s="930"/>
      <c r="AS71" s="930"/>
      <c r="AT71" s="930"/>
      <c r="AU71" s="930"/>
      <c r="AV71" s="930"/>
      <c r="AW71" s="929"/>
      <c r="AX71" s="931"/>
      <c r="AY71" s="932">
        <v>21.19</v>
      </c>
    </row>
    <row r="72" spans="2:51" s="160" customFormat="1" x14ac:dyDescent="0.3">
      <c r="B72" s="890">
        <v>45866</v>
      </c>
      <c r="C72" s="891">
        <v>0</v>
      </c>
      <c r="D72" s="892" t="s">
        <v>1072</v>
      </c>
      <c r="E72" s="887" t="s">
        <v>1073</v>
      </c>
      <c r="F72" s="894">
        <v>4.25</v>
      </c>
      <c r="G72" s="897">
        <v>4.25</v>
      </c>
      <c r="H72" s="895"/>
      <c r="I72" s="898">
        <f t="shared" si="1"/>
        <v>11210.699999999986</v>
      </c>
      <c r="J72" s="423"/>
      <c r="K72" s="896">
        <f t="shared" si="0"/>
        <v>4.25</v>
      </c>
      <c r="L72" s="926"/>
      <c r="M72" s="902"/>
      <c r="N72" s="927"/>
      <c r="O72" s="926"/>
      <c r="P72" s="926"/>
      <c r="Q72" s="926"/>
      <c r="R72" s="926"/>
      <c r="S72" s="926"/>
      <c r="T72" s="926">
        <v>4.25</v>
      </c>
      <c r="U72" s="926"/>
      <c r="V72" s="926"/>
      <c r="W72" s="926"/>
      <c r="X72" s="926"/>
      <c r="Y72" s="927"/>
      <c r="Z72" s="927"/>
      <c r="AA72" s="927"/>
      <c r="AB72" s="927"/>
      <c r="AC72" s="927"/>
      <c r="AD72" s="927"/>
      <c r="AE72" s="927"/>
      <c r="AF72" s="928"/>
      <c r="AG72" s="928"/>
      <c r="AH72" s="926"/>
      <c r="AI72" s="926"/>
      <c r="AJ72" s="926"/>
      <c r="AK72" s="929"/>
      <c r="AL72" s="929"/>
      <c r="AM72" s="929"/>
      <c r="AN72" s="929"/>
      <c r="AO72" s="929"/>
      <c r="AP72" s="930"/>
      <c r="AQ72" s="930"/>
      <c r="AR72" s="930"/>
      <c r="AS72" s="930"/>
      <c r="AT72" s="930"/>
      <c r="AU72" s="930"/>
      <c r="AV72" s="930"/>
      <c r="AW72" s="929"/>
      <c r="AX72" s="931"/>
      <c r="AY72" s="932"/>
    </row>
    <row r="73" spans="2:51" s="160" customFormat="1" x14ac:dyDescent="0.3">
      <c r="B73" s="890">
        <v>45877</v>
      </c>
      <c r="C73" s="891">
        <v>0</v>
      </c>
      <c r="D73" s="892" t="s">
        <v>1083</v>
      </c>
      <c r="E73" s="887" t="s">
        <v>1070</v>
      </c>
      <c r="F73" s="894">
        <v>25</v>
      </c>
      <c r="G73" s="897">
        <v>25</v>
      </c>
      <c r="H73" s="895"/>
      <c r="I73" s="898">
        <f t="shared" si="1"/>
        <v>11185.699999999986</v>
      </c>
      <c r="J73" s="423"/>
      <c r="K73" s="896">
        <f t="shared" si="0"/>
        <v>25</v>
      </c>
      <c r="L73" s="926">
        <v>0</v>
      </c>
      <c r="M73" s="902"/>
      <c r="N73" s="927"/>
      <c r="O73" s="926"/>
      <c r="P73" s="926"/>
      <c r="Q73" s="926"/>
      <c r="R73" s="926"/>
      <c r="S73" s="926"/>
      <c r="T73" s="926"/>
      <c r="U73" s="926"/>
      <c r="V73" s="926"/>
      <c r="W73" s="926"/>
      <c r="X73" s="926"/>
      <c r="Y73" s="927"/>
      <c r="Z73" s="927"/>
      <c r="AA73" s="927"/>
      <c r="AB73" s="927"/>
      <c r="AC73" s="927"/>
      <c r="AD73" s="927"/>
      <c r="AE73" s="927"/>
      <c r="AF73" s="928"/>
      <c r="AG73" s="928"/>
      <c r="AH73" s="926"/>
      <c r="AI73" s="926"/>
      <c r="AJ73" s="926"/>
      <c r="AK73" s="929"/>
      <c r="AL73" s="929">
        <v>25</v>
      </c>
      <c r="AM73" s="929"/>
      <c r="AN73" s="929"/>
      <c r="AO73" s="929"/>
      <c r="AP73" s="930"/>
      <c r="AQ73" s="930"/>
      <c r="AR73" s="930"/>
      <c r="AS73" s="930"/>
      <c r="AT73" s="930"/>
      <c r="AU73" s="930"/>
      <c r="AV73" s="930"/>
      <c r="AW73" s="929"/>
      <c r="AX73" s="931"/>
      <c r="AY73" s="932"/>
    </row>
    <row r="74" spans="2:51" s="160" customFormat="1" x14ac:dyDescent="0.3">
      <c r="B74" s="890">
        <v>45877</v>
      </c>
      <c r="C74" s="891">
        <v>131505121</v>
      </c>
      <c r="D74" s="892" t="s">
        <v>1082</v>
      </c>
      <c r="E74" s="887" t="s">
        <v>1075</v>
      </c>
      <c r="F74" s="894">
        <v>161.35</v>
      </c>
      <c r="G74" s="897">
        <v>161.35</v>
      </c>
      <c r="H74" s="895"/>
      <c r="I74" s="898">
        <f t="shared" si="1"/>
        <v>11024.349999999986</v>
      </c>
      <c r="J74" s="423"/>
      <c r="K74" s="896">
        <f t="shared" si="0"/>
        <v>161.35000000000002</v>
      </c>
      <c r="L74" s="926">
        <v>26.89</v>
      </c>
      <c r="M74" s="902"/>
      <c r="N74" s="927"/>
      <c r="O74" s="926"/>
      <c r="P74" s="926"/>
      <c r="Q74" s="926"/>
      <c r="R74" s="926"/>
      <c r="S74" s="926"/>
      <c r="T74" s="926"/>
      <c r="U74" s="926"/>
      <c r="V74" s="926"/>
      <c r="W74" s="926"/>
      <c r="X74" s="926"/>
      <c r="Y74" s="927"/>
      <c r="Z74" s="927"/>
      <c r="AA74" s="927"/>
      <c r="AB74" s="927"/>
      <c r="AC74" s="927"/>
      <c r="AD74" s="927"/>
      <c r="AE74" s="927"/>
      <c r="AF74" s="928"/>
      <c r="AG74" s="928"/>
      <c r="AH74" s="926"/>
      <c r="AI74" s="926"/>
      <c r="AJ74" s="926"/>
      <c r="AK74" s="929"/>
      <c r="AL74" s="929"/>
      <c r="AM74" s="929"/>
      <c r="AN74" s="929"/>
      <c r="AO74" s="929"/>
      <c r="AP74" s="930"/>
      <c r="AQ74" s="930"/>
      <c r="AR74" s="930"/>
      <c r="AS74" s="930"/>
      <c r="AT74" s="930"/>
      <c r="AU74" s="930"/>
      <c r="AV74" s="930"/>
      <c r="AW74" s="929">
        <v>134.46</v>
      </c>
      <c r="AX74" s="931"/>
      <c r="AY74" s="932"/>
    </row>
    <row r="75" spans="2:51" s="160" customFormat="1" x14ac:dyDescent="0.3">
      <c r="B75" s="890">
        <v>45877</v>
      </c>
      <c r="C75" s="891">
        <v>0</v>
      </c>
      <c r="D75" s="892" t="s">
        <v>1084</v>
      </c>
      <c r="E75" s="887" t="s">
        <v>1076</v>
      </c>
      <c r="F75" s="894">
        <v>860.4</v>
      </c>
      <c r="G75" s="897">
        <v>860.4</v>
      </c>
      <c r="H75" s="895"/>
      <c r="I75" s="898">
        <f t="shared" si="1"/>
        <v>10163.949999999986</v>
      </c>
      <c r="J75" s="423"/>
      <c r="K75" s="896">
        <f t="shared" si="0"/>
        <v>860.4</v>
      </c>
      <c r="L75" s="926">
        <v>143.4</v>
      </c>
      <c r="M75" s="902"/>
      <c r="N75" s="927"/>
      <c r="O75" s="926"/>
      <c r="P75" s="926"/>
      <c r="Q75" s="926"/>
      <c r="R75" s="926"/>
      <c r="S75" s="926"/>
      <c r="T75" s="926"/>
      <c r="U75" s="926"/>
      <c r="V75" s="926"/>
      <c r="W75" s="926"/>
      <c r="X75" s="926"/>
      <c r="Y75" s="927"/>
      <c r="Z75" s="927"/>
      <c r="AA75" s="927"/>
      <c r="AB75" s="927"/>
      <c r="AC75" s="927"/>
      <c r="AD75" s="927"/>
      <c r="AE75" s="927"/>
      <c r="AF75" s="928"/>
      <c r="AG75" s="928"/>
      <c r="AH75" s="926"/>
      <c r="AI75" s="926"/>
      <c r="AJ75" s="926"/>
      <c r="AK75" s="929"/>
      <c r="AL75" s="929"/>
      <c r="AM75" s="929"/>
      <c r="AN75" s="929"/>
      <c r="AO75" s="929"/>
      <c r="AP75" s="930">
        <v>717</v>
      </c>
      <c r="AQ75" s="930"/>
      <c r="AR75" s="930"/>
      <c r="AS75" s="930"/>
      <c r="AT75" s="930"/>
      <c r="AU75" s="930"/>
      <c r="AV75" s="930"/>
      <c r="AW75" s="929"/>
      <c r="AX75" s="931"/>
      <c r="AY75" s="932"/>
    </row>
    <row r="76" spans="2:51" s="160" customFormat="1" x14ac:dyDescent="0.3">
      <c r="B76" s="890">
        <v>45903</v>
      </c>
      <c r="C76" s="891">
        <v>245719348</v>
      </c>
      <c r="D76" s="892" t="s">
        <v>1069</v>
      </c>
      <c r="E76" s="887" t="s">
        <v>1077</v>
      </c>
      <c r="F76" s="894">
        <v>25.43</v>
      </c>
      <c r="G76" s="897">
        <v>25.43</v>
      </c>
      <c r="H76" s="895"/>
      <c r="I76" s="898">
        <f t="shared" si="1"/>
        <v>10138.519999999986</v>
      </c>
      <c r="J76" s="423"/>
      <c r="K76" s="896">
        <f t="shared" si="0"/>
        <v>25.43</v>
      </c>
      <c r="L76" s="926">
        <v>4.24</v>
      </c>
      <c r="M76" s="902"/>
      <c r="N76" s="927"/>
      <c r="O76" s="926"/>
      <c r="P76" s="926"/>
      <c r="Q76" s="926"/>
      <c r="R76" s="926"/>
      <c r="S76" s="926"/>
      <c r="T76" s="926"/>
      <c r="U76" s="926"/>
      <c r="V76" s="926"/>
      <c r="W76" s="926"/>
      <c r="X76" s="926"/>
      <c r="Y76" s="927"/>
      <c r="Z76" s="927"/>
      <c r="AA76" s="927"/>
      <c r="AB76" s="927"/>
      <c r="AC76" s="927"/>
      <c r="AD76" s="927"/>
      <c r="AE76" s="927"/>
      <c r="AF76" s="928"/>
      <c r="AG76" s="928"/>
      <c r="AH76" s="926"/>
      <c r="AI76" s="926"/>
      <c r="AJ76" s="926"/>
      <c r="AK76" s="929"/>
      <c r="AL76" s="929"/>
      <c r="AM76" s="929"/>
      <c r="AN76" s="929"/>
      <c r="AO76" s="929"/>
      <c r="AP76" s="930"/>
      <c r="AQ76" s="930"/>
      <c r="AR76" s="930"/>
      <c r="AS76" s="930"/>
      <c r="AT76" s="930"/>
      <c r="AU76" s="930"/>
      <c r="AV76" s="930"/>
      <c r="AW76" s="929"/>
      <c r="AX76" s="931"/>
      <c r="AY76" s="932">
        <v>21.19</v>
      </c>
    </row>
    <row r="77" spans="2:51" s="160" customFormat="1" x14ac:dyDescent="0.3">
      <c r="B77" s="890">
        <v>45904</v>
      </c>
      <c r="C77" s="891">
        <v>0</v>
      </c>
      <c r="D77" s="892" t="s">
        <v>948</v>
      </c>
      <c r="E77" s="887" t="s">
        <v>1105</v>
      </c>
      <c r="F77" s="894"/>
      <c r="G77" s="895"/>
      <c r="H77" s="897">
        <v>15000</v>
      </c>
      <c r="I77" s="898">
        <f t="shared" si="1"/>
        <v>25138.519999999986</v>
      </c>
      <c r="J77" s="423"/>
      <c r="K77" s="896">
        <f t="shared" si="0"/>
        <v>0</v>
      </c>
      <c r="L77" s="926"/>
      <c r="M77" s="902"/>
      <c r="N77" s="927"/>
      <c r="O77" s="926"/>
      <c r="P77" s="926"/>
      <c r="Q77" s="926"/>
      <c r="R77" s="926"/>
      <c r="S77" s="926"/>
      <c r="T77" s="926"/>
      <c r="U77" s="926"/>
      <c r="V77" s="926"/>
      <c r="W77" s="926"/>
      <c r="X77" s="926"/>
      <c r="Y77" s="927"/>
      <c r="Z77" s="927"/>
      <c r="AA77" s="927"/>
      <c r="AB77" s="927"/>
      <c r="AC77" s="927"/>
      <c r="AD77" s="927"/>
      <c r="AE77" s="927"/>
      <c r="AF77" s="928"/>
      <c r="AG77" s="928"/>
      <c r="AH77" s="926"/>
      <c r="AI77" s="926"/>
      <c r="AJ77" s="926"/>
      <c r="AK77" s="929"/>
      <c r="AL77" s="929"/>
      <c r="AM77" s="929"/>
      <c r="AN77" s="929"/>
      <c r="AO77" s="929"/>
      <c r="AP77" s="930"/>
      <c r="AQ77" s="930"/>
      <c r="AR77" s="930"/>
      <c r="AS77" s="930"/>
      <c r="AT77" s="930"/>
      <c r="AU77" s="930"/>
      <c r="AV77" s="930"/>
      <c r="AW77" s="929"/>
      <c r="AX77" s="931"/>
      <c r="AY77" s="932"/>
    </row>
    <row r="78" spans="2:51" s="160" customFormat="1" x14ac:dyDescent="0.3">
      <c r="B78" s="890">
        <v>45904</v>
      </c>
      <c r="C78" s="891">
        <v>0</v>
      </c>
      <c r="D78" s="892" t="s">
        <v>1072</v>
      </c>
      <c r="E78" s="887" t="s">
        <v>1078</v>
      </c>
      <c r="F78" s="894">
        <v>4.25</v>
      </c>
      <c r="G78" s="897">
        <v>4.25</v>
      </c>
      <c r="H78" s="895"/>
      <c r="I78" s="898">
        <f t="shared" si="1"/>
        <v>25134.269999999986</v>
      </c>
      <c r="J78" s="423"/>
      <c r="K78" s="896">
        <f t="shared" si="0"/>
        <v>4.25</v>
      </c>
      <c r="L78" s="926">
        <v>0</v>
      </c>
      <c r="M78" s="902"/>
      <c r="N78" s="927"/>
      <c r="O78" s="926"/>
      <c r="P78" s="926"/>
      <c r="Q78" s="926"/>
      <c r="R78" s="926"/>
      <c r="S78" s="926"/>
      <c r="T78" s="926">
        <v>4.25</v>
      </c>
      <c r="U78" s="926"/>
      <c r="V78" s="926"/>
      <c r="W78" s="926"/>
      <c r="X78" s="926"/>
      <c r="Y78" s="927"/>
      <c r="Z78" s="927"/>
      <c r="AA78" s="927"/>
      <c r="AB78" s="927"/>
      <c r="AC78" s="927"/>
      <c r="AD78" s="927"/>
      <c r="AE78" s="927"/>
      <c r="AF78" s="928"/>
      <c r="AG78" s="928"/>
      <c r="AH78" s="926"/>
      <c r="AI78" s="926"/>
      <c r="AJ78" s="926"/>
      <c r="AK78" s="929"/>
      <c r="AL78" s="929"/>
      <c r="AM78" s="929"/>
      <c r="AN78" s="929"/>
      <c r="AO78" s="929"/>
      <c r="AP78" s="930"/>
      <c r="AQ78" s="930"/>
      <c r="AR78" s="930"/>
      <c r="AS78" s="930"/>
      <c r="AT78" s="930"/>
      <c r="AU78" s="930"/>
      <c r="AV78" s="930"/>
      <c r="AW78" s="929"/>
      <c r="AX78" s="931"/>
      <c r="AY78" s="932"/>
    </row>
    <row r="79" spans="2:51" s="160" customFormat="1" x14ac:dyDescent="0.3">
      <c r="B79" s="890">
        <v>45904</v>
      </c>
      <c r="C79" s="891">
        <v>0</v>
      </c>
      <c r="D79" s="892" t="s">
        <v>1071</v>
      </c>
      <c r="E79" s="887" t="s">
        <v>1079</v>
      </c>
      <c r="F79" s="894">
        <v>47</v>
      </c>
      <c r="G79" s="897">
        <v>47</v>
      </c>
      <c r="H79" s="895"/>
      <c r="I79" s="898">
        <f t="shared" si="1"/>
        <v>25087.269999999986</v>
      </c>
      <c r="J79" s="423"/>
      <c r="K79" s="896">
        <f t="shared" si="0"/>
        <v>47</v>
      </c>
      <c r="L79" s="926">
        <v>0</v>
      </c>
      <c r="M79" s="902"/>
      <c r="N79" s="927"/>
      <c r="O79" s="926"/>
      <c r="P79" s="926"/>
      <c r="Q79" s="926"/>
      <c r="R79" s="926">
        <v>47</v>
      </c>
      <c r="S79" s="926"/>
      <c r="T79" s="926"/>
      <c r="U79" s="926"/>
      <c r="V79" s="926"/>
      <c r="W79" s="926"/>
      <c r="X79" s="926"/>
      <c r="Y79" s="927"/>
      <c r="Z79" s="927"/>
      <c r="AA79" s="927"/>
      <c r="AB79" s="927"/>
      <c r="AC79" s="927"/>
      <c r="AD79" s="927"/>
      <c r="AE79" s="927"/>
      <c r="AF79" s="928"/>
      <c r="AG79" s="928"/>
      <c r="AH79" s="926"/>
      <c r="AI79" s="926"/>
      <c r="AJ79" s="926"/>
      <c r="AK79" s="929"/>
      <c r="AL79" s="929"/>
      <c r="AM79" s="929"/>
      <c r="AN79" s="929"/>
      <c r="AO79" s="929"/>
      <c r="AP79" s="930"/>
      <c r="AQ79" s="930"/>
      <c r="AR79" s="930"/>
      <c r="AS79" s="930"/>
      <c r="AT79" s="930"/>
      <c r="AU79" s="930"/>
      <c r="AV79" s="930"/>
      <c r="AW79" s="929"/>
      <c r="AX79" s="931"/>
      <c r="AY79" s="932"/>
    </row>
    <row r="80" spans="2:51" s="160" customFormat="1" x14ac:dyDescent="0.3">
      <c r="B80" s="890">
        <v>45904</v>
      </c>
      <c r="C80" s="891">
        <v>0</v>
      </c>
      <c r="D80" s="892" t="s">
        <v>1087</v>
      </c>
      <c r="E80" s="887" t="s">
        <v>1088</v>
      </c>
      <c r="F80" s="894">
        <v>1673.02</v>
      </c>
      <c r="G80" s="895"/>
      <c r="H80" s="895"/>
      <c r="I80" s="898">
        <f t="shared" si="1"/>
        <v>25087.269999999986</v>
      </c>
      <c r="J80" s="423"/>
      <c r="K80" s="896">
        <f t="shared" si="0"/>
        <v>1673.02</v>
      </c>
      <c r="L80" s="926">
        <v>0</v>
      </c>
      <c r="M80" s="902"/>
      <c r="N80" s="927"/>
      <c r="O80" s="926">
        <v>1451.02</v>
      </c>
      <c r="P80" s="926"/>
      <c r="Q80" s="926"/>
      <c r="R80" s="926"/>
      <c r="S80" s="926"/>
      <c r="T80" s="926"/>
      <c r="U80" s="926"/>
      <c r="V80" s="926"/>
      <c r="W80" s="926"/>
      <c r="X80" s="926"/>
      <c r="Y80" s="927"/>
      <c r="Z80" s="927"/>
      <c r="AA80" s="927"/>
      <c r="AB80" s="927"/>
      <c r="AC80" s="927"/>
      <c r="AD80" s="927"/>
      <c r="AE80" s="927"/>
      <c r="AF80" s="928"/>
      <c r="AG80" s="928"/>
      <c r="AH80" s="926"/>
      <c r="AI80" s="926"/>
      <c r="AJ80" s="926"/>
      <c r="AK80" s="929"/>
      <c r="AL80" s="929"/>
      <c r="AM80" s="929"/>
      <c r="AN80" s="929">
        <v>222</v>
      </c>
      <c r="AO80" s="929"/>
      <c r="AP80" s="930"/>
      <c r="AQ80" s="930"/>
      <c r="AR80" s="930"/>
      <c r="AS80" s="930"/>
      <c r="AT80" s="930"/>
      <c r="AU80" s="930"/>
      <c r="AV80" s="930"/>
      <c r="AW80" s="929"/>
      <c r="AX80" s="931"/>
      <c r="AY80" s="932"/>
    </row>
    <row r="81" spans="2:51" s="160" customFormat="1" x14ac:dyDescent="0.3">
      <c r="B81" s="890">
        <v>45904</v>
      </c>
      <c r="C81" s="891">
        <v>724594615</v>
      </c>
      <c r="D81" s="892" t="s">
        <v>1089</v>
      </c>
      <c r="E81" s="887" t="s">
        <v>1088</v>
      </c>
      <c r="F81" s="894">
        <v>47.56</v>
      </c>
      <c r="G81" s="897">
        <f>SUM(F80:F81)</f>
        <v>1720.58</v>
      </c>
      <c r="H81" s="895"/>
      <c r="I81" s="898">
        <f t="shared" si="1"/>
        <v>23366.689999999988</v>
      </c>
      <c r="J81" s="423"/>
      <c r="K81" s="896">
        <f t="shared" si="0"/>
        <v>47.56</v>
      </c>
      <c r="L81" s="926">
        <v>2.06</v>
      </c>
      <c r="M81" s="902"/>
      <c r="N81" s="927"/>
      <c r="O81" s="926"/>
      <c r="P81" s="926"/>
      <c r="Q81" s="926"/>
      <c r="R81" s="926">
        <v>45.5</v>
      </c>
      <c r="S81" s="926"/>
      <c r="T81" s="926"/>
      <c r="U81" s="926"/>
      <c r="V81" s="926"/>
      <c r="W81" s="926"/>
      <c r="X81" s="926"/>
      <c r="Y81" s="927"/>
      <c r="Z81" s="927"/>
      <c r="AA81" s="927"/>
      <c r="AB81" s="927"/>
      <c r="AC81" s="927"/>
      <c r="AD81" s="927"/>
      <c r="AE81" s="927"/>
      <c r="AF81" s="928"/>
      <c r="AG81" s="928"/>
      <c r="AH81" s="926"/>
      <c r="AI81" s="926"/>
      <c r="AJ81" s="926"/>
      <c r="AK81" s="929"/>
      <c r="AL81" s="929"/>
      <c r="AM81" s="929"/>
      <c r="AN81" s="929"/>
      <c r="AO81" s="929"/>
      <c r="AP81" s="930"/>
      <c r="AQ81" s="930"/>
      <c r="AR81" s="930"/>
      <c r="AS81" s="930"/>
      <c r="AT81" s="930"/>
      <c r="AU81" s="930"/>
      <c r="AV81" s="930"/>
      <c r="AW81" s="929"/>
      <c r="AX81" s="931"/>
      <c r="AY81" s="932"/>
    </row>
    <row r="82" spans="2:51" s="160" customFormat="1" x14ac:dyDescent="0.3">
      <c r="B82" s="890">
        <v>45904</v>
      </c>
      <c r="C82" s="891">
        <v>0</v>
      </c>
      <c r="D82" s="892" t="s">
        <v>1090</v>
      </c>
      <c r="E82" s="887" t="s">
        <v>1091</v>
      </c>
      <c r="F82" s="894">
        <v>362.7</v>
      </c>
      <c r="G82" s="897">
        <v>362.7</v>
      </c>
      <c r="H82" s="895"/>
      <c r="I82" s="898">
        <f t="shared" si="1"/>
        <v>23003.989999999987</v>
      </c>
      <c r="J82" s="423"/>
      <c r="K82" s="896">
        <f t="shared" si="0"/>
        <v>362.7</v>
      </c>
      <c r="L82" s="926">
        <v>0</v>
      </c>
      <c r="M82" s="902"/>
      <c r="N82" s="927"/>
      <c r="O82" s="926"/>
      <c r="P82" s="926"/>
      <c r="Q82" s="926"/>
      <c r="R82" s="926"/>
      <c r="S82" s="926"/>
      <c r="T82" s="926"/>
      <c r="U82" s="926"/>
      <c r="V82" s="926"/>
      <c r="W82" s="926"/>
      <c r="X82" s="926"/>
      <c r="Y82" s="927"/>
      <c r="Z82" s="927"/>
      <c r="AA82" s="927"/>
      <c r="AB82" s="927"/>
      <c r="AC82" s="927"/>
      <c r="AD82" s="927"/>
      <c r="AE82" s="927"/>
      <c r="AF82" s="928"/>
      <c r="AG82" s="928"/>
      <c r="AH82" s="926"/>
      <c r="AI82" s="926"/>
      <c r="AJ82" s="926"/>
      <c r="AK82" s="929"/>
      <c r="AL82" s="929"/>
      <c r="AM82" s="929"/>
      <c r="AN82" s="929"/>
      <c r="AO82" s="929">
        <v>362.7</v>
      </c>
      <c r="AP82" s="930"/>
      <c r="AQ82" s="930"/>
      <c r="AR82" s="930"/>
      <c r="AS82" s="930"/>
      <c r="AT82" s="930"/>
      <c r="AU82" s="930"/>
      <c r="AV82" s="930"/>
      <c r="AW82" s="929"/>
      <c r="AX82" s="931"/>
      <c r="AY82" s="932"/>
    </row>
    <row r="83" spans="2:51" s="160" customFormat="1" x14ac:dyDescent="0.3">
      <c r="B83" s="890">
        <v>45904</v>
      </c>
      <c r="C83" s="891">
        <v>0</v>
      </c>
      <c r="D83" s="892" t="s">
        <v>1092</v>
      </c>
      <c r="E83" s="887" t="s">
        <v>1093</v>
      </c>
      <c r="F83" s="894">
        <v>596.89</v>
      </c>
      <c r="G83" s="897">
        <v>596.89</v>
      </c>
      <c r="H83" s="895"/>
      <c r="I83" s="898">
        <f t="shared" si="1"/>
        <v>22407.099999999988</v>
      </c>
      <c r="J83" s="423"/>
      <c r="K83" s="896">
        <f t="shared" si="0"/>
        <v>596.89</v>
      </c>
      <c r="L83" s="926">
        <v>0</v>
      </c>
      <c r="M83" s="902"/>
      <c r="N83" s="927"/>
      <c r="O83" s="926">
        <v>256.2</v>
      </c>
      <c r="P83" s="926"/>
      <c r="Q83" s="926">
        <v>250.09</v>
      </c>
      <c r="R83" s="926"/>
      <c r="S83" s="926"/>
      <c r="T83" s="926"/>
      <c r="U83" s="926"/>
      <c r="V83" s="926"/>
      <c r="W83" s="926"/>
      <c r="X83" s="926"/>
      <c r="Y83" s="927"/>
      <c r="Z83" s="927"/>
      <c r="AA83" s="927"/>
      <c r="AB83" s="927"/>
      <c r="AC83" s="927"/>
      <c r="AD83" s="927"/>
      <c r="AE83" s="927"/>
      <c r="AF83" s="928"/>
      <c r="AG83" s="928"/>
      <c r="AH83" s="926"/>
      <c r="AI83" s="926"/>
      <c r="AJ83" s="926"/>
      <c r="AK83" s="929"/>
      <c r="AL83" s="929"/>
      <c r="AM83" s="929"/>
      <c r="AN83" s="929"/>
      <c r="AO83" s="929">
        <v>90.6</v>
      </c>
      <c r="AP83" s="930"/>
      <c r="AQ83" s="930"/>
      <c r="AR83" s="930"/>
      <c r="AS83" s="930"/>
      <c r="AT83" s="930"/>
      <c r="AU83" s="930"/>
      <c r="AV83" s="930"/>
      <c r="AW83" s="929"/>
      <c r="AX83" s="931"/>
      <c r="AY83" s="932"/>
    </row>
    <row r="84" spans="2:51" s="160" customFormat="1" x14ac:dyDescent="0.3">
      <c r="B84" s="890">
        <v>45904</v>
      </c>
      <c r="C84" s="891">
        <v>440498250</v>
      </c>
      <c r="D84" s="892" t="s">
        <v>1094</v>
      </c>
      <c r="E84" s="887" t="s">
        <v>1095</v>
      </c>
      <c r="F84" s="894">
        <v>504</v>
      </c>
      <c r="G84" s="897">
        <v>504</v>
      </c>
      <c r="H84" s="895"/>
      <c r="I84" s="898">
        <f t="shared" si="1"/>
        <v>21903.099999999988</v>
      </c>
      <c r="J84" s="423"/>
      <c r="K84" s="896">
        <f t="shared" si="0"/>
        <v>504</v>
      </c>
      <c r="L84" s="926">
        <v>84</v>
      </c>
      <c r="M84" s="902"/>
      <c r="N84" s="927"/>
      <c r="O84" s="926"/>
      <c r="P84" s="926"/>
      <c r="Q84" s="926"/>
      <c r="R84" s="926"/>
      <c r="S84" s="926"/>
      <c r="T84" s="926"/>
      <c r="U84" s="926"/>
      <c r="V84" s="926"/>
      <c r="W84" s="926"/>
      <c r="X84" s="926">
        <v>420</v>
      </c>
      <c r="Y84" s="927"/>
      <c r="Z84" s="927"/>
      <c r="AA84" s="927"/>
      <c r="AB84" s="927"/>
      <c r="AC84" s="927"/>
      <c r="AD84" s="927"/>
      <c r="AE84" s="927"/>
      <c r="AF84" s="928"/>
      <c r="AG84" s="928"/>
      <c r="AH84" s="926"/>
      <c r="AI84" s="926"/>
      <c r="AJ84" s="926"/>
      <c r="AK84" s="929"/>
      <c r="AL84" s="929"/>
      <c r="AM84" s="929"/>
      <c r="AN84" s="929"/>
      <c r="AO84" s="929"/>
      <c r="AP84" s="930"/>
      <c r="AQ84" s="930"/>
      <c r="AR84" s="930"/>
      <c r="AS84" s="930"/>
      <c r="AT84" s="930"/>
      <c r="AU84" s="930"/>
      <c r="AV84" s="930"/>
      <c r="AW84" s="929"/>
      <c r="AX84" s="931"/>
      <c r="AY84" s="932"/>
    </row>
    <row r="85" spans="2:51" s="160" customFormat="1" x14ac:dyDescent="0.3">
      <c r="B85" s="890">
        <v>45904</v>
      </c>
      <c r="C85" s="891">
        <v>0</v>
      </c>
      <c r="D85" s="892" t="s">
        <v>1096</v>
      </c>
      <c r="E85" s="887" t="s">
        <v>1097</v>
      </c>
      <c r="F85" s="894">
        <v>977.2</v>
      </c>
      <c r="G85" s="895"/>
      <c r="H85" s="895"/>
      <c r="I85" s="898">
        <f t="shared" si="1"/>
        <v>21903.099999999988</v>
      </c>
      <c r="J85" s="423"/>
      <c r="K85" s="896">
        <f t="shared" si="0"/>
        <v>977.2</v>
      </c>
      <c r="L85" s="926">
        <v>0</v>
      </c>
      <c r="M85" s="902">
        <v>977.2</v>
      </c>
      <c r="N85" s="927"/>
      <c r="O85" s="926"/>
      <c r="P85" s="926"/>
      <c r="Q85" s="926"/>
      <c r="R85" s="926"/>
      <c r="S85" s="926"/>
      <c r="T85" s="926"/>
      <c r="U85" s="926"/>
      <c r="V85" s="926"/>
      <c r="W85" s="926"/>
      <c r="X85" s="926"/>
      <c r="Y85" s="927"/>
      <c r="Z85" s="927"/>
      <c r="AA85" s="927"/>
      <c r="AB85" s="927"/>
      <c r="AC85" s="927"/>
      <c r="AD85" s="927"/>
      <c r="AE85" s="927"/>
      <c r="AF85" s="928"/>
      <c r="AG85" s="928"/>
      <c r="AH85" s="926"/>
      <c r="AI85" s="926"/>
      <c r="AJ85" s="926"/>
      <c r="AK85" s="929"/>
      <c r="AL85" s="929"/>
      <c r="AM85" s="929"/>
      <c r="AN85" s="929"/>
      <c r="AO85" s="929"/>
      <c r="AP85" s="930"/>
      <c r="AQ85" s="930"/>
      <c r="AR85" s="930"/>
      <c r="AS85" s="930"/>
      <c r="AT85" s="930"/>
      <c r="AU85" s="930"/>
      <c r="AV85" s="930"/>
      <c r="AW85" s="929"/>
      <c r="AX85" s="931"/>
      <c r="AY85" s="932"/>
    </row>
    <row r="86" spans="2:51" s="160" customFormat="1" x14ac:dyDescent="0.3">
      <c r="B86" s="890">
        <v>45904</v>
      </c>
      <c r="C86" s="891">
        <v>0</v>
      </c>
      <c r="D86" s="892" t="s">
        <v>1098</v>
      </c>
      <c r="E86" s="887" t="s">
        <v>1097</v>
      </c>
      <c r="F86" s="894">
        <v>545.5</v>
      </c>
      <c r="G86" s="897">
        <f>SUM(F85:F86)</f>
        <v>1522.7</v>
      </c>
      <c r="H86" s="895"/>
      <c r="I86" s="898">
        <f t="shared" si="1"/>
        <v>20380.399999999987</v>
      </c>
      <c r="J86" s="423"/>
      <c r="K86" s="896">
        <f t="shared" si="0"/>
        <v>545.5</v>
      </c>
      <c r="L86" s="926">
        <v>0</v>
      </c>
      <c r="M86" s="902">
        <v>545.5</v>
      </c>
      <c r="N86" s="927"/>
      <c r="O86" s="926"/>
      <c r="P86" s="926"/>
      <c r="Q86" s="926"/>
      <c r="R86" s="926"/>
      <c r="S86" s="926"/>
      <c r="T86" s="926"/>
      <c r="U86" s="926"/>
      <c r="V86" s="926"/>
      <c r="W86" s="926"/>
      <c r="X86" s="926"/>
      <c r="Y86" s="927"/>
      <c r="Z86" s="927"/>
      <c r="AA86" s="927"/>
      <c r="AB86" s="927"/>
      <c r="AC86" s="927"/>
      <c r="AD86" s="927"/>
      <c r="AE86" s="927"/>
      <c r="AF86" s="928"/>
      <c r="AG86" s="928"/>
      <c r="AH86" s="926"/>
      <c r="AI86" s="926"/>
      <c r="AJ86" s="926"/>
      <c r="AK86" s="929"/>
      <c r="AL86" s="929"/>
      <c r="AM86" s="929"/>
      <c r="AN86" s="929"/>
      <c r="AO86" s="929"/>
      <c r="AP86" s="930"/>
      <c r="AQ86" s="930"/>
      <c r="AR86" s="930"/>
      <c r="AS86" s="930"/>
      <c r="AT86" s="930"/>
      <c r="AU86" s="930"/>
      <c r="AV86" s="930"/>
      <c r="AW86" s="929"/>
      <c r="AX86" s="931"/>
      <c r="AY86" s="932"/>
    </row>
    <row r="87" spans="2:51" s="160" customFormat="1" x14ac:dyDescent="0.3">
      <c r="B87" s="890">
        <v>45904</v>
      </c>
      <c r="C87" s="891">
        <v>845184023</v>
      </c>
      <c r="D87" s="892" t="s">
        <v>1099</v>
      </c>
      <c r="E87" s="887" t="s">
        <v>1100</v>
      </c>
      <c r="F87" s="894">
        <v>96</v>
      </c>
      <c r="G87" s="897">
        <v>96</v>
      </c>
      <c r="H87" s="895"/>
      <c r="I87" s="898">
        <f t="shared" si="1"/>
        <v>20284.399999999987</v>
      </c>
      <c r="J87" s="423"/>
      <c r="K87" s="896">
        <f t="shared" si="0"/>
        <v>96</v>
      </c>
      <c r="L87" s="926">
        <v>16</v>
      </c>
      <c r="M87" s="902"/>
      <c r="N87" s="927"/>
      <c r="O87" s="926"/>
      <c r="P87" s="926"/>
      <c r="Q87" s="926"/>
      <c r="R87" s="926"/>
      <c r="S87" s="926"/>
      <c r="T87" s="926"/>
      <c r="U87" s="926"/>
      <c r="V87" s="926"/>
      <c r="W87" s="926"/>
      <c r="X87" s="926"/>
      <c r="Y87" s="927"/>
      <c r="Z87" s="927"/>
      <c r="AA87" s="927"/>
      <c r="AB87" s="927"/>
      <c r="AC87" s="927"/>
      <c r="AD87" s="927"/>
      <c r="AE87" s="927"/>
      <c r="AF87" s="928"/>
      <c r="AG87" s="928"/>
      <c r="AH87" s="926"/>
      <c r="AI87" s="926"/>
      <c r="AJ87" s="926"/>
      <c r="AK87" s="929"/>
      <c r="AL87" s="929"/>
      <c r="AM87" s="929"/>
      <c r="AN87" s="929"/>
      <c r="AO87" s="929"/>
      <c r="AP87" s="930"/>
      <c r="AQ87" s="930"/>
      <c r="AR87" s="930"/>
      <c r="AS87" s="930"/>
      <c r="AT87" s="930"/>
      <c r="AU87" s="930"/>
      <c r="AV87" s="930">
        <v>80</v>
      </c>
      <c r="AW87" s="929"/>
      <c r="AX87" s="931"/>
      <c r="AY87" s="932"/>
    </row>
    <row r="88" spans="2:51" s="160" customFormat="1" x14ac:dyDescent="0.3">
      <c r="B88" s="890">
        <v>45904</v>
      </c>
      <c r="C88" s="891">
        <v>575922800</v>
      </c>
      <c r="D88" s="892" t="s">
        <v>1101</v>
      </c>
      <c r="E88" s="887" t="s">
        <v>1102</v>
      </c>
      <c r="F88" s="894">
        <v>691.2</v>
      </c>
      <c r="G88" s="897">
        <v>691.2</v>
      </c>
      <c r="H88" s="895"/>
      <c r="I88" s="898">
        <f t="shared" si="1"/>
        <v>19593.199999999986</v>
      </c>
      <c r="J88" s="423"/>
      <c r="K88" s="896">
        <f t="shared" si="0"/>
        <v>691.2</v>
      </c>
      <c r="L88" s="926">
        <v>115.2</v>
      </c>
      <c r="M88" s="902"/>
      <c r="N88" s="927"/>
      <c r="O88" s="926"/>
      <c r="P88" s="926"/>
      <c r="Q88" s="926"/>
      <c r="R88" s="926"/>
      <c r="S88" s="926"/>
      <c r="T88" s="926"/>
      <c r="U88" s="926"/>
      <c r="V88" s="926"/>
      <c r="W88" s="926"/>
      <c r="X88" s="926"/>
      <c r="Y88" s="927"/>
      <c r="Z88" s="927"/>
      <c r="AA88" s="927"/>
      <c r="AB88" s="927"/>
      <c r="AC88" s="927"/>
      <c r="AD88" s="927"/>
      <c r="AE88" s="927"/>
      <c r="AF88" s="928"/>
      <c r="AG88" s="928"/>
      <c r="AH88" s="926"/>
      <c r="AI88" s="926"/>
      <c r="AJ88" s="926"/>
      <c r="AK88" s="929"/>
      <c r="AL88" s="929"/>
      <c r="AM88" s="929"/>
      <c r="AN88" s="929"/>
      <c r="AO88" s="929"/>
      <c r="AP88" s="930"/>
      <c r="AQ88" s="930"/>
      <c r="AR88" s="930"/>
      <c r="AS88" s="930"/>
      <c r="AT88" s="930"/>
      <c r="AU88" s="930"/>
      <c r="AV88" s="930"/>
      <c r="AW88" s="929"/>
      <c r="AX88" s="931">
        <v>576</v>
      </c>
      <c r="AY88" s="932"/>
    </row>
    <row r="89" spans="2:51" s="160" customFormat="1" x14ac:dyDescent="0.3">
      <c r="B89" s="890">
        <v>45904</v>
      </c>
      <c r="C89" s="891">
        <v>0</v>
      </c>
      <c r="D89" s="892" t="s">
        <v>1103</v>
      </c>
      <c r="E89" s="887" t="s">
        <v>1104</v>
      </c>
      <c r="F89" s="894">
        <v>575.48</v>
      </c>
      <c r="G89" s="897">
        <v>575.48</v>
      </c>
      <c r="H89" s="895"/>
      <c r="I89" s="898">
        <f t="shared" si="1"/>
        <v>19017.719999999987</v>
      </c>
      <c r="J89" s="423"/>
      <c r="K89" s="896">
        <f t="shared" si="0"/>
        <v>575.48</v>
      </c>
      <c r="L89" s="926">
        <v>0</v>
      </c>
      <c r="M89" s="902"/>
      <c r="N89" s="927"/>
      <c r="O89" s="926">
        <v>118.78</v>
      </c>
      <c r="P89" s="926">
        <v>456.7</v>
      </c>
      <c r="Q89" s="926"/>
      <c r="R89" s="926"/>
      <c r="S89" s="926"/>
      <c r="T89" s="926"/>
      <c r="U89" s="926"/>
      <c r="V89" s="926"/>
      <c r="W89" s="926"/>
      <c r="X89" s="926"/>
      <c r="Y89" s="927"/>
      <c r="Z89" s="927"/>
      <c r="AA89" s="927"/>
      <c r="AB89" s="927"/>
      <c r="AC89" s="927"/>
      <c r="AD89" s="927"/>
      <c r="AE89" s="927"/>
      <c r="AF89" s="928"/>
      <c r="AG89" s="928"/>
      <c r="AH89" s="926"/>
      <c r="AI89" s="926"/>
      <c r="AJ89" s="926"/>
      <c r="AK89" s="929"/>
      <c r="AL89" s="929"/>
      <c r="AM89" s="929"/>
      <c r="AN89" s="929"/>
      <c r="AO89" s="929"/>
      <c r="AP89" s="930"/>
      <c r="AQ89" s="930"/>
      <c r="AR89" s="930"/>
      <c r="AS89" s="930"/>
      <c r="AT89" s="930"/>
      <c r="AU89" s="930"/>
      <c r="AV89" s="930"/>
      <c r="AW89" s="929"/>
      <c r="AX89" s="931"/>
      <c r="AY89" s="932"/>
    </row>
    <row r="90" spans="2:51" s="160" customFormat="1" x14ac:dyDescent="0.3">
      <c r="B90" s="890">
        <v>45916</v>
      </c>
      <c r="C90" s="891">
        <v>245719348</v>
      </c>
      <c r="D90" s="892" t="s">
        <v>1118</v>
      </c>
      <c r="E90" s="887" t="s">
        <v>1119</v>
      </c>
      <c r="F90" s="894">
        <v>25.43</v>
      </c>
      <c r="G90" s="897">
        <v>25.43</v>
      </c>
      <c r="H90" s="895"/>
      <c r="I90" s="898">
        <f t="shared" si="1"/>
        <v>18992.289999999986</v>
      </c>
      <c r="J90" s="423"/>
      <c r="K90" s="896">
        <f t="shared" si="0"/>
        <v>25.43</v>
      </c>
      <c r="L90" s="926">
        <v>4.24</v>
      </c>
      <c r="M90" s="902"/>
      <c r="N90" s="927"/>
      <c r="O90" s="926"/>
      <c r="P90" s="926"/>
      <c r="Q90" s="926"/>
      <c r="R90" s="926"/>
      <c r="S90" s="926"/>
      <c r="T90" s="926"/>
      <c r="U90" s="926"/>
      <c r="V90" s="926"/>
      <c r="W90" s="926"/>
      <c r="X90" s="926"/>
      <c r="Y90" s="927"/>
      <c r="Z90" s="927"/>
      <c r="AA90" s="927"/>
      <c r="AB90" s="927"/>
      <c r="AC90" s="927"/>
      <c r="AD90" s="927"/>
      <c r="AE90" s="927"/>
      <c r="AF90" s="928"/>
      <c r="AG90" s="928"/>
      <c r="AH90" s="926"/>
      <c r="AI90" s="926"/>
      <c r="AJ90" s="926"/>
      <c r="AK90" s="929"/>
      <c r="AL90" s="929"/>
      <c r="AM90" s="929"/>
      <c r="AN90" s="929"/>
      <c r="AO90" s="929"/>
      <c r="AP90" s="930"/>
      <c r="AQ90" s="930"/>
      <c r="AR90" s="930"/>
      <c r="AS90" s="930"/>
      <c r="AT90" s="930"/>
      <c r="AU90" s="930"/>
      <c r="AV90" s="930"/>
      <c r="AW90" s="929"/>
      <c r="AX90" s="931"/>
      <c r="AY90" s="932">
        <v>21.19</v>
      </c>
    </row>
    <row r="91" spans="2:51" s="160" customFormat="1" x14ac:dyDescent="0.3">
      <c r="B91" s="890">
        <v>45929</v>
      </c>
      <c r="C91" s="891">
        <v>0</v>
      </c>
      <c r="D91" s="892" t="s">
        <v>1072</v>
      </c>
      <c r="E91" s="887" t="s">
        <v>1120</v>
      </c>
      <c r="F91" s="894">
        <v>4.25</v>
      </c>
      <c r="G91" s="897">
        <v>4.25</v>
      </c>
      <c r="H91" s="895"/>
      <c r="I91" s="898">
        <f t="shared" si="1"/>
        <v>18988.039999999986</v>
      </c>
      <c r="J91" s="423"/>
      <c r="K91" s="896">
        <f t="shared" si="0"/>
        <v>4.25</v>
      </c>
      <c r="L91" s="926">
        <v>0</v>
      </c>
      <c r="M91" s="902"/>
      <c r="N91" s="927"/>
      <c r="O91" s="926"/>
      <c r="P91" s="926"/>
      <c r="Q91" s="926"/>
      <c r="R91" s="926"/>
      <c r="S91" s="926"/>
      <c r="T91" s="926">
        <v>4.25</v>
      </c>
      <c r="U91" s="926"/>
      <c r="V91" s="926"/>
      <c r="W91" s="926"/>
      <c r="X91" s="926"/>
      <c r="Y91" s="927"/>
      <c r="Z91" s="927"/>
      <c r="AA91" s="927"/>
      <c r="AB91" s="927"/>
      <c r="AC91" s="927"/>
      <c r="AD91" s="927"/>
      <c r="AE91" s="927"/>
      <c r="AF91" s="928"/>
      <c r="AG91" s="928"/>
      <c r="AH91" s="926"/>
      <c r="AI91" s="926"/>
      <c r="AJ91" s="926"/>
      <c r="AK91" s="929"/>
      <c r="AL91" s="929"/>
      <c r="AM91" s="929"/>
      <c r="AN91" s="929"/>
      <c r="AO91" s="929"/>
      <c r="AP91" s="930"/>
      <c r="AQ91" s="930"/>
      <c r="AR91" s="930"/>
      <c r="AS91" s="930"/>
      <c r="AT91" s="930"/>
      <c r="AU91" s="930"/>
      <c r="AV91" s="930"/>
      <c r="AW91" s="929"/>
      <c r="AX91" s="931"/>
      <c r="AY91" s="932"/>
    </row>
    <row r="92" spans="2:51" s="160" customFormat="1" x14ac:dyDescent="0.3">
      <c r="B92" s="890">
        <v>45932</v>
      </c>
      <c r="C92" s="891">
        <v>0</v>
      </c>
      <c r="D92" s="892" t="s">
        <v>1106</v>
      </c>
      <c r="E92" s="887" t="s">
        <v>1107</v>
      </c>
      <c r="F92" s="894">
        <v>1489.75</v>
      </c>
      <c r="G92" s="895"/>
      <c r="H92" s="895"/>
      <c r="I92" s="898">
        <f t="shared" si="1"/>
        <v>18988.039999999986</v>
      </c>
      <c r="J92" s="423"/>
      <c r="K92" s="896">
        <f t="shared" si="0"/>
        <v>1489.75</v>
      </c>
      <c r="L92" s="926">
        <v>0</v>
      </c>
      <c r="M92" s="902"/>
      <c r="N92" s="927"/>
      <c r="O92" s="926">
        <v>1267.75</v>
      </c>
      <c r="P92" s="926"/>
      <c r="Q92" s="926"/>
      <c r="R92" s="926"/>
      <c r="S92" s="926"/>
      <c r="T92" s="926"/>
      <c r="U92" s="926"/>
      <c r="V92" s="926"/>
      <c r="W92" s="926"/>
      <c r="X92" s="926"/>
      <c r="Y92" s="927"/>
      <c r="Z92" s="927"/>
      <c r="AA92" s="927"/>
      <c r="AB92" s="927"/>
      <c r="AC92" s="927"/>
      <c r="AD92" s="927"/>
      <c r="AE92" s="927"/>
      <c r="AF92" s="928"/>
      <c r="AG92" s="928"/>
      <c r="AH92" s="926"/>
      <c r="AI92" s="926"/>
      <c r="AJ92" s="926"/>
      <c r="AK92" s="929"/>
      <c r="AL92" s="929"/>
      <c r="AM92" s="929"/>
      <c r="AN92" s="929">
        <v>222</v>
      </c>
      <c r="AO92" s="929"/>
      <c r="AP92" s="930"/>
      <c r="AQ92" s="930"/>
      <c r="AR92" s="930"/>
      <c r="AS92" s="930"/>
      <c r="AT92" s="930"/>
      <c r="AU92" s="930"/>
      <c r="AV92" s="930"/>
      <c r="AW92" s="929"/>
      <c r="AX92" s="931"/>
      <c r="AY92" s="932"/>
    </row>
    <row r="93" spans="2:51" s="160" customFormat="1" x14ac:dyDescent="0.3">
      <c r="B93" s="890">
        <v>45932</v>
      </c>
      <c r="C93" s="891">
        <v>724594615</v>
      </c>
      <c r="D93" s="892" t="s">
        <v>1112</v>
      </c>
      <c r="E93" s="887" t="s">
        <v>1107</v>
      </c>
      <c r="F93" s="894">
        <v>47.36</v>
      </c>
      <c r="G93" s="897">
        <f>SUM(F92:F93)</f>
        <v>1537.11</v>
      </c>
      <c r="H93" s="895"/>
      <c r="I93" s="898">
        <f t="shared" si="1"/>
        <v>17450.929999999986</v>
      </c>
      <c r="J93" s="423"/>
      <c r="K93" s="896">
        <f t="shared" si="0"/>
        <v>47.36</v>
      </c>
      <c r="L93" s="926">
        <v>2.06</v>
      </c>
      <c r="M93" s="902"/>
      <c r="N93" s="927"/>
      <c r="O93" s="926"/>
      <c r="P93" s="926"/>
      <c r="Q93" s="926"/>
      <c r="R93" s="926">
        <v>45.3</v>
      </c>
      <c r="S93" s="926"/>
      <c r="T93" s="926"/>
      <c r="U93" s="926"/>
      <c r="V93" s="926"/>
      <c r="W93" s="926"/>
      <c r="X93" s="926"/>
      <c r="Y93" s="927"/>
      <c r="Z93" s="927"/>
      <c r="AA93" s="927"/>
      <c r="AB93" s="927"/>
      <c r="AC93" s="927"/>
      <c r="AD93" s="927"/>
      <c r="AE93" s="927"/>
      <c r="AF93" s="928"/>
      <c r="AG93" s="928"/>
      <c r="AH93" s="926"/>
      <c r="AI93" s="926"/>
      <c r="AJ93" s="926"/>
      <c r="AK93" s="929"/>
      <c r="AL93" s="929"/>
      <c r="AM93" s="929"/>
      <c r="AN93" s="929"/>
      <c r="AO93" s="929"/>
      <c r="AP93" s="930"/>
      <c r="AQ93" s="930"/>
      <c r="AR93" s="930"/>
      <c r="AS93" s="930"/>
      <c r="AT93" s="930"/>
      <c r="AU93" s="930"/>
      <c r="AV93" s="930"/>
      <c r="AW93" s="929"/>
      <c r="AX93" s="931"/>
      <c r="AY93" s="932"/>
    </row>
    <row r="94" spans="2:51" s="160" customFormat="1" x14ac:dyDescent="0.3">
      <c r="B94" s="890">
        <v>45932</v>
      </c>
      <c r="C94" s="891">
        <v>0</v>
      </c>
      <c r="D94" s="892" t="s">
        <v>1108</v>
      </c>
      <c r="E94" s="887" t="s">
        <v>1109</v>
      </c>
      <c r="F94" s="894">
        <v>153.66999999999999</v>
      </c>
      <c r="G94" s="895"/>
      <c r="H94" s="895"/>
      <c r="I94" s="898">
        <f t="shared" si="1"/>
        <v>17450.929999999986</v>
      </c>
      <c r="J94" s="423"/>
      <c r="K94" s="896">
        <f t="shared" si="0"/>
        <v>153.66999999999999</v>
      </c>
      <c r="L94" s="926">
        <v>0</v>
      </c>
      <c r="M94" s="902"/>
      <c r="N94" s="927"/>
      <c r="O94" s="926"/>
      <c r="P94" s="926"/>
      <c r="Q94" s="926"/>
      <c r="R94" s="926"/>
      <c r="S94" s="926"/>
      <c r="T94" s="926"/>
      <c r="U94" s="926"/>
      <c r="V94" s="926"/>
      <c r="W94" s="926"/>
      <c r="X94" s="926"/>
      <c r="Y94" s="927"/>
      <c r="Z94" s="927"/>
      <c r="AA94" s="927"/>
      <c r="AB94" s="927"/>
      <c r="AC94" s="927"/>
      <c r="AD94" s="927"/>
      <c r="AE94" s="927"/>
      <c r="AF94" s="928"/>
      <c r="AG94" s="928"/>
      <c r="AH94" s="926"/>
      <c r="AI94" s="926"/>
      <c r="AJ94" s="926"/>
      <c r="AK94" s="929"/>
      <c r="AL94" s="929"/>
      <c r="AM94" s="929"/>
      <c r="AN94" s="929"/>
      <c r="AO94" s="929">
        <v>153.66999999999999</v>
      </c>
      <c r="AP94" s="930"/>
      <c r="AQ94" s="930"/>
      <c r="AR94" s="930"/>
      <c r="AS94" s="930"/>
      <c r="AT94" s="930"/>
      <c r="AU94" s="930"/>
      <c r="AV94" s="930"/>
      <c r="AW94" s="929"/>
      <c r="AX94" s="931"/>
      <c r="AY94" s="932"/>
    </row>
    <row r="95" spans="2:51" s="160" customFormat="1" x14ac:dyDescent="0.3">
      <c r="B95" s="890">
        <v>45932</v>
      </c>
      <c r="C95" s="891">
        <v>217915261</v>
      </c>
      <c r="D95" s="892" t="s">
        <v>1127</v>
      </c>
      <c r="E95" s="887" t="s">
        <v>1109</v>
      </c>
      <c r="F95" s="894">
        <v>20</v>
      </c>
      <c r="G95" s="897">
        <f>SUM(F94:F95)</f>
        <v>173.67</v>
      </c>
      <c r="H95" s="895"/>
      <c r="I95" s="898">
        <f t="shared" si="1"/>
        <v>17277.259999999987</v>
      </c>
      <c r="J95" s="423"/>
      <c r="K95" s="896">
        <f t="shared" si="0"/>
        <v>20</v>
      </c>
      <c r="L95" s="926">
        <v>3.33</v>
      </c>
      <c r="M95" s="902"/>
      <c r="N95" s="927"/>
      <c r="O95" s="926"/>
      <c r="P95" s="926"/>
      <c r="Q95" s="926"/>
      <c r="R95" s="926"/>
      <c r="S95" s="926"/>
      <c r="T95" s="926"/>
      <c r="U95" s="926"/>
      <c r="V95" s="926"/>
      <c r="W95" s="926"/>
      <c r="X95" s="926"/>
      <c r="Y95" s="927"/>
      <c r="Z95" s="927"/>
      <c r="AA95" s="927"/>
      <c r="AB95" s="927"/>
      <c r="AC95" s="927"/>
      <c r="AD95" s="927"/>
      <c r="AE95" s="927"/>
      <c r="AF95" s="928"/>
      <c r="AG95" s="928"/>
      <c r="AH95" s="926"/>
      <c r="AI95" s="926"/>
      <c r="AJ95" s="926"/>
      <c r="AK95" s="929"/>
      <c r="AL95" s="929"/>
      <c r="AM95" s="929"/>
      <c r="AN95" s="929"/>
      <c r="AO95" s="929"/>
      <c r="AP95" s="930"/>
      <c r="AQ95" s="930">
        <v>16.670000000000002</v>
      </c>
      <c r="AR95" s="930"/>
      <c r="AS95" s="930"/>
      <c r="AT95" s="930"/>
      <c r="AU95" s="930"/>
      <c r="AV95" s="930"/>
      <c r="AW95" s="929"/>
      <c r="AX95" s="931"/>
      <c r="AY95" s="932"/>
    </row>
    <row r="96" spans="2:51" s="160" customFormat="1" x14ac:dyDescent="0.3">
      <c r="B96" s="890">
        <v>45932</v>
      </c>
      <c r="C96" s="891">
        <v>0</v>
      </c>
      <c r="D96" s="892" t="s">
        <v>1110</v>
      </c>
      <c r="E96" s="887" t="s">
        <v>1111</v>
      </c>
      <c r="F96" s="894">
        <v>425.67</v>
      </c>
      <c r="G96" s="897">
        <v>425.67</v>
      </c>
      <c r="H96" s="895"/>
      <c r="I96" s="898">
        <f t="shared" si="1"/>
        <v>16851.589999999989</v>
      </c>
      <c r="J96" s="423"/>
      <c r="K96" s="896">
        <f t="shared" si="0"/>
        <v>425.67000000000007</v>
      </c>
      <c r="L96" s="926">
        <v>0</v>
      </c>
      <c r="M96" s="902"/>
      <c r="N96" s="927"/>
      <c r="O96" s="926">
        <v>183.24</v>
      </c>
      <c r="P96" s="926"/>
      <c r="Q96" s="926">
        <v>203.83</v>
      </c>
      <c r="R96" s="926"/>
      <c r="S96" s="926"/>
      <c r="T96" s="926"/>
      <c r="U96" s="926"/>
      <c r="V96" s="926"/>
      <c r="W96" s="926"/>
      <c r="X96" s="926"/>
      <c r="Y96" s="927"/>
      <c r="Z96" s="927"/>
      <c r="AA96" s="927"/>
      <c r="AB96" s="927"/>
      <c r="AC96" s="927"/>
      <c r="AD96" s="927"/>
      <c r="AE96" s="927"/>
      <c r="AF96" s="928"/>
      <c r="AG96" s="928"/>
      <c r="AH96" s="926"/>
      <c r="AI96" s="926"/>
      <c r="AJ96" s="926"/>
      <c r="AK96" s="929"/>
      <c r="AL96" s="929"/>
      <c r="AM96" s="929"/>
      <c r="AN96" s="929"/>
      <c r="AO96" s="929">
        <v>38.6</v>
      </c>
      <c r="AP96" s="930"/>
      <c r="AQ96" s="930"/>
      <c r="AR96" s="930"/>
      <c r="AS96" s="930"/>
      <c r="AT96" s="930"/>
      <c r="AU96" s="930"/>
      <c r="AV96" s="930"/>
      <c r="AW96" s="929"/>
      <c r="AX96" s="931"/>
      <c r="AY96" s="932"/>
    </row>
    <row r="97" spans="2:51" s="160" customFormat="1" x14ac:dyDescent="0.3">
      <c r="B97" s="890">
        <v>45932</v>
      </c>
      <c r="C97" s="891">
        <v>0</v>
      </c>
      <c r="D97" s="892" t="s">
        <v>1113</v>
      </c>
      <c r="E97" s="887" t="s">
        <v>1114</v>
      </c>
      <c r="F97" s="894">
        <v>499.06</v>
      </c>
      <c r="G97" s="897">
        <v>499.06</v>
      </c>
      <c r="H97" s="895"/>
      <c r="I97" s="898">
        <f t="shared" si="1"/>
        <v>16352.52999999999</v>
      </c>
      <c r="J97" s="423"/>
      <c r="K97" s="896">
        <f t="shared" si="0"/>
        <v>499.06</v>
      </c>
      <c r="L97" s="926">
        <v>0</v>
      </c>
      <c r="M97" s="902"/>
      <c r="N97" s="927"/>
      <c r="O97" s="926">
        <v>103.01</v>
      </c>
      <c r="P97" s="926">
        <v>396.05</v>
      </c>
      <c r="Q97" s="926"/>
      <c r="R97" s="926"/>
      <c r="S97" s="926"/>
      <c r="T97" s="926"/>
      <c r="U97" s="926"/>
      <c r="V97" s="926"/>
      <c r="W97" s="926"/>
      <c r="X97" s="926"/>
      <c r="Y97" s="927"/>
      <c r="Z97" s="927"/>
      <c r="AA97" s="927"/>
      <c r="AB97" s="927"/>
      <c r="AC97" s="927"/>
      <c r="AD97" s="927"/>
      <c r="AE97" s="927"/>
      <c r="AF97" s="928"/>
      <c r="AG97" s="928"/>
      <c r="AH97" s="926"/>
      <c r="AI97" s="926"/>
      <c r="AJ97" s="926"/>
      <c r="AK97" s="929"/>
      <c r="AL97" s="929"/>
      <c r="AM97" s="929"/>
      <c r="AN97" s="929"/>
      <c r="AO97" s="929"/>
      <c r="AP97" s="930"/>
      <c r="AQ97" s="930"/>
      <c r="AR97" s="930"/>
      <c r="AS97" s="930"/>
      <c r="AT97" s="930"/>
      <c r="AU97" s="930"/>
      <c r="AV97" s="930"/>
      <c r="AW97" s="929"/>
      <c r="AX97" s="931"/>
      <c r="AY97" s="932"/>
    </row>
    <row r="98" spans="2:51" s="160" customFormat="1" x14ac:dyDescent="0.3">
      <c r="B98" s="890">
        <v>45932</v>
      </c>
      <c r="C98" s="891">
        <v>220430231</v>
      </c>
      <c r="D98" s="892" t="s">
        <v>1117</v>
      </c>
      <c r="E98" s="887" t="s">
        <v>1115</v>
      </c>
      <c r="F98" s="894">
        <v>110.18</v>
      </c>
      <c r="G98" s="895"/>
      <c r="H98" s="895"/>
      <c r="I98" s="898">
        <f t="shared" si="1"/>
        <v>16352.52999999999</v>
      </c>
      <c r="J98" s="423"/>
      <c r="K98" s="896">
        <f t="shared" si="0"/>
        <v>110.17999999999999</v>
      </c>
      <c r="L98" s="926">
        <v>18.36</v>
      </c>
      <c r="M98" s="902"/>
      <c r="N98" s="927"/>
      <c r="O98" s="926"/>
      <c r="P98" s="926"/>
      <c r="Q98" s="926"/>
      <c r="R98" s="926"/>
      <c r="S98" s="926"/>
      <c r="T98" s="926"/>
      <c r="U98" s="926"/>
      <c r="V98" s="926"/>
      <c r="W98" s="926"/>
      <c r="X98" s="926"/>
      <c r="Y98" s="927"/>
      <c r="Z98" s="927"/>
      <c r="AA98" s="927"/>
      <c r="AB98" s="927"/>
      <c r="AC98" s="927"/>
      <c r="AD98" s="927"/>
      <c r="AE98" s="927"/>
      <c r="AF98" s="928"/>
      <c r="AG98" s="928"/>
      <c r="AH98" s="926"/>
      <c r="AI98" s="926"/>
      <c r="AJ98" s="926"/>
      <c r="AK98" s="929"/>
      <c r="AL98" s="929"/>
      <c r="AM98" s="929"/>
      <c r="AN98" s="929"/>
      <c r="AO98" s="929"/>
      <c r="AP98" s="930"/>
      <c r="AQ98" s="930"/>
      <c r="AR98" s="930"/>
      <c r="AS98" s="930">
        <v>91.82</v>
      </c>
      <c r="AT98" s="930"/>
      <c r="AU98" s="930"/>
      <c r="AV98" s="930"/>
      <c r="AW98" s="929"/>
      <c r="AX98" s="931"/>
      <c r="AY98" s="932"/>
    </row>
    <row r="99" spans="2:51" s="160" customFormat="1" x14ac:dyDescent="0.3">
      <c r="B99" s="890">
        <v>45932</v>
      </c>
      <c r="C99" s="891">
        <v>256738470</v>
      </c>
      <c r="D99" s="892" t="s">
        <v>1116</v>
      </c>
      <c r="E99" s="887" t="s">
        <v>1115</v>
      </c>
      <c r="F99" s="894">
        <v>11.49</v>
      </c>
      <c r="G99" s="897">
        <f>SUM(F98:F99)</f>
        <v>121.67</v>
      </c>
      <c r="H99" s="895"/>
      <c r="I99" s="898">
        <f t="shared" si="1"/>
        <v>16230.85999999999</v>
      </c>
      <c r="J99" s="423"/>
      <c r="K99" s="896">
        <f t="shared" si="0"/>
        <v>11.49</v>
      </c>
      <c r="L99" s="926">
        <v>1.92</v>
      </c>
      <c r="M99" s="902"/>
      <c r="N99" s="927"/>
      <c r="O99" s="926"/>
      <c r="P99" s="926"/>
      <c r="Q99" s="926"/>
      <c r="R99" s="926"/>
      <c r="S99" s="926"/>
      <c r="T99" s="926"/>
      <c r="U99" s="926"/>
      <c r="V99" s="926"/>
      <c r="W99" s="926"/>
      <c r="X99" s="926"/>
      <c r="Y99" s="927"/>
      <c r="Z99" s="927"/>
      <c r="AA99" s="927"/>
      <c r="AB99" s="927"/>
      <c r="AC99" s="927"/>
      <c r="AD99" s="927"/>
      <c r="AE99" s="927"/>
      <c r="AF99" s="928"/>
      <c r="AG99" s="928"/>
      <c r="AH99" s="926"/>
      <c r="AI99" s="926"/>
      <c r="AJ99" s="926"/>
      <c r="AK99" s="929"/>
      <c r="AL99" s="929"/>
      <c r="AM99" s="929"/>
      <c r="AN99" s="929"/>
      <c r="AO99" s="929"/>
      <c r="AP99" s="930"/>
      <c r="AQ99" s="930"/>
      <c r="AR99" s="930"/>
      <c r="AS99" s="930">
        <v>9.57</v>
      </c>
      <c r="AT99" s="930"/>
      <c r="AU99" s="930"/>
      <c r="AV99" s="930"/>
      <c r="AW99" s="929"/>
      <c r="AX99" s="931"/>
      <c r="AY99" s="932"/>
    </row>
    <row r="100" spans="2:51" s="160" customFormat="1" x14ac:dyDescent="0.3">
      <c r="B100" s="890">
        <v>45932</v>
      </c>
      <c r="C100" s="891">
        <v>0</v>
      </c>
      <c r="D100" s="892" t="s">
        <v>1123</v>
      </c>
      <c r="E100" s="887" t="s">
        <v>1124</v>
      </c>
      <c r="F100" s="894">
        <v>320</v>
      </c>
      <c r="G100" s="897">
        <v>320</v>
      </c>
      <c r="H100" s="895"/>
      <c r="I100" s="898">
        <f>I99-G100+H100</f>
        <v>15910.85999999999</v>
      </c>
      <c r="J100" s="423"/>
      <c r="K100" s="896">
        <f t="shared" si="0"/>
        <v>320</v>
      </c>
      <c r="L100" s="926">
        <v>0</v>
      </c>
      <c r="M100" s="902"/>
      <c r="N100" s="927"/>
      <c r="O100" s="926"/>
      <c r="P100" s="926"/>
      <c r="Q100" s="926"/>
      <c r="R100" s="926"/>
      <c r="S100" s="926"/>
      <c r="T100" s="926"/>
      <c r="U100" s="926"/>
      <c r="V100" s="926"/>
      <c r="W100" s="926">
        <v>320</v>
      </c>
      <c r="X100" s="926"/>
      <c r="Y100" s="927"/>
      <c r="Z100" s="927"/>
      <c r="AA100" s="927"/>
      <c r="AB100" s="927"/>
      <c r="AC100" s="927"/>
      <c r="AD100" s="927"/>
      <c r="AE100" s="927"/>
      <c r="AF100" s="928"/>
      <c r="AG100" s="928"/>
      <c r="AH100" s="926"/>
      <c r="AI100" s="926"/>
      <c r="AJ100" s="926"/>
      <c r="AK100" s="929"/>
      <c r="AL100" s="929"/>
      <c r="AM100" s="929"/>
      <c r="AN100" s="929"/>
      <c r="AO100" s="929"/>
      <c r="AP100" s="930"/>
      <c r="AQ100" s="930"/>
      <c r="AR100" s="930"/>
      <c r="AS100" s="930"/>
      <c r="AT100" s="930"/>
      <c r="AU100" s="930"/>
      <c r="AV100" s="930"/>
      <c r="AW100" s="929"/>
      <c r="AX100" s="931"/>
      <c r="AY100" s="932"/>
    </row>
    <row r="101" spans="2:51" s="160" customFormat="1" x14ac:dyDescent="0.3">
      <c r="B101" s="890">
        <v>45932</v>
      </c>
      <c r="C101" s="891">
        <v>335548880</v>
      </c>
      <c r="D101" s="892" t="s">
        <v>1125</v>
      </c>
      <c r="E101" s="887" t="s">
        <v>1126</v>
      </c>
      <c r="F101" s="894">
        <v>504</v>
      </c>
      <c r="G101" s="897">
        <v>504</v>
      </c>
      <c r="H101" s="895"/>
      <c r="I101" s="898">
        <f t="shared" si="1"/>
        <v>15406.85999999999</v>
      </c>
      <c r="J101" s="423"/>
      <c r="K101" s="896">
        <f t="shared" si="0"/>
        <v>504</v>
      </c>
      <c r="L101" s="926">
        <v>42</v>
      </c>
      <c r="M101" s="902"/>
      <c r="N101" s="927"/>
      <c r="O101" s="926"/>
      <c r="P101" s="926"/>
      <c r="Q101" s="926"/>
      <c r="R101" s="926"/>
      <c r="S101" s="926"/>
      <c r="T101" s="926"/>
      <c r="U101" s="926"/>
      <c r="V101" s="926"/>
      <c r="W101" s="926" t="s">
        <v>162</v>
      </c>
      <c r="X101" s="926"/>
      <c r="Y101" s="927"/>
      <c r="Z101" s="927"/>
      <c r="AA101" s="927"/>
      <c r="AB101" s="927"/>
      <c r="AC101" s="927"/>
      <c r="AD101" s="927"/>
      <c r="AE101" s="927"/>
      <c r="AF101" s="928"/>
      <c r="AG101" s="928"/>
      <c r="AH101" s="926"/>
      <c r="AI101" s="926"/>
      <c r="AJ101" s="926"/>
      <c r="AK101" s="929"/>
      <c r="AL101" s="929"/>
      <c r="AM101" s="929"/>
      <c r="AN101" s="929"/>
      <c r="AO101" s="929"/>
      <c r="AP101" s="930">
        <v>462</v>
      </c>
      <c r="AQ101" s="930"/>
      <c r="AR101" s="930"/>
      <c r="AS101" s="930"/>
      <c r="AT101" s="930"/>
      <c r="AU101" s="930"/>
      <c r="AV101" s="930"/>
      <c r="AW101" s="929"/>
      <c r="AX101" s="931"/>
      <c r="AY101" s="932"/>
    </row>
    <row r="102" spans="2:51" s="160" customFormat="1" x14ac:dyDescent="0.3">
      <c r="B102" s="890">
        <v>45932</v>
      </c>
      <c r="C102" s="891">
        <v>0</v>
      </c>
      <c r="D102" s="892" t="s">
        <v>1128</v>
      </c>
      <c r="E102" s="887" t="s">
        <v>1129</v>
      </c>
      <c r="F102" s="894">
        <v>758.65</v>
      </c>
      <c r="G102" s="897">
        <v>758.65</v>
      </c>
      <c r="H102" s="895"/>
      <c r="I102" s="898">
        <f t="shared" si="1"/>
        <v>14648.20999999999</v>
      </c>
      <c r="J102" s="423"/>
      <c r="K102" s="896">
        <f t="shared" si="0"/>
        <v>758.65</v>
      </c>
      <c r="L102" s="926">
        <v>0</v>
      </c>
      <c r="M102" s="902">
        <v>758.65</v>
      </c>
      <c r="N102" s="927"/>
      <c r="O102" s="926"/>
      <c r="P102" s="926"/>
      <c r="Q102" s="926"/>
      <c r="R102" s="926"/>
      <c r="S102" s="926"/>
      <c r="T102" s="926"/>
      <c r="U102" s="926"/>
      <c r="V102" s="926"/>
      <c r="W102" s="926"/>
      <c r="X102" s="926"/>
      <c r="Y102" s="927"/>
      <c r="Z102" s="927"/>
      <c r="AA102" s="927"/>
      <c r="AB102" s="927"/>
      <c r="AC102" s="927"/>
      <c r="AD102" s="927"/>
      <c r="AE102" s="927"/>
      <c r="AF102" s="928"/>
      <c r="AG102" s="928"/>
      <c r="AH102" s="926"/>
      <c r="AI102" s="926"/>
      <c r="AJ102" s="926"/>
      <c r="AK102" s="929"/>
      <c r="AL102" s="929"/>
      <c r="AM102" s="929"/>
      <c r="AN102" s="929"/>
      <c r="AO102" s="929"/>
      <c r="AP102" s="930" t="s">
        <v>55</v>
      </c>
      <c r="AQ102" s="930"/>
      <c r="AR102" s="930"/>
      <c r="AS102" s="930"/>
      <c r="AT102" s="930"/>
      <c r="AU102" s="930"/>
      <c r="AV102" s="930"/>
      <c r="AW102" s="929"/>
      <c r="AX102" s="931"/>
      <c r="AY102" s="932"/>
    </row>
    <row r="103" spans="2:51" s="160" customFormat="1" x14ac:dyDescent="0.3">
      <c r="B103" s="890">
        <v>45932</v>
      </c>
      <c r="C103" s="891">
        <v>131505120</v>
      </c>
      <c r="D103" s="892" t="s">
        <v>1130</v>
      </c>
      <c r="E103" s="887" t="s">
        <v>1131</v>
      </c>
      <c r="F103" s="894">
        <v>484.06</v>
      </c>
      <c r="G103" s="897">
        <v>484.06</v>
      </c>
      <c r="H103" s="895"/>
      <c r="I103" s="898">
        <f t="shared" si="1"/>
        <v>14164.149999999991</v>
      </c>
      <c r="J103" s="423"/>
      <c r="K103" s="896">
        <f t="shared" si="0"/>
        <v>484.06</v>
      </c>
      <c r="L103" s="926">
        <v>80.680000000000007</v>
      </c>
      <c r="M103" s="902"/>
      <c r="N103" s="927"/>
      <c r="O103" s="926"/>
      <c r="P103" s="926"/>
      <c r="Q103" s="926"/>
      <c r="R103" s="926"/>
      <c r="S103" s="926"/>
      <c r="T103" s="926"/>
      <c r="U103" s="926"/>
      <c r="V103" s="926"/>
      <c r="W103" s="926"/>
      <c r="X103" s="926"/>
      <c r="Y103" s="927"/>
      <c r="Z103" s="927"/>
      <c r="AA103" s="927"/>
      <c r="AB103" s="927"/>
      <c r="AC103" s="927"/>
      <c r="AD103" s="927"/>
      <c r="AE103" s="927"/>
      <c r="AF103" s="928"/>
      <c r="AG103" s="928"/>
      <c r="AH103" s="926"/>
      <c r="AI103" s="926"/>
      <c r="AJ103" s="926"/>
      <c r="AK103" s="929"/>
      <c r="AL103" s="929"/>
      <c r="AM103" s="929"/>
      <c r="AN103" s="929"/>
      <c r="AO103" s="929"/>
      <c r="AP103" s="930"/>
      <c r="AQ103" s="930"/>
      <c r="AR103" s="930"/>
      <c r="AS103" s="930"/>
      <c r="AT103" s="930"/>
      <c r="AU103" s="930"/>
      <c r="AV103" s="930"/>
      <c r="AW103" s="929">
        <v>403.38</v>
      </c>
      <c r="AX103" s="931"/>
      <c r="AY103" s="932"/>
    </row>
    <row r="104" spans="2:51" s="160" customFormat="1" x14ac:dyDescent="0.3">
      <c r="B104" s="890">
        <v>45967</v>
      </c>
      <c r="C104" s="891">
        <v>0</v>
      </c>
      <c r="D104" s="892" t="s">
        <v>1159</v>
      </c>
      <c r="E104" s="887" t="s">
        <v>1160</v>
      </c>
      <c r="F104" s="894"/>
      <c r="G104" s="895"/>
      <c r="H104" s="897">
        <v>15000</v>
      </c>
      <c r="I104" s="898">
        <f t="shared" si="1"/>
        <v>29164.149999999991</v>
      </c>
      <c r="J104" s="423"/>
      <c r="K104" s="896"/>
      <c r="L104" s="926"/>
      <c r="M104" s="902"/>
      <c r="N104" s="927"/>
      <c r="O104" s="926"/>
      <c r="P104" s="926"/>
      <c r="Q104" s="926"/>
      <c r="R104" s="926"/>
      <c r="S104" s="926"/>
      <c r="T104" s="926"/>
      <c r="U104" s="926"/>
      <c r="V104" s="926"/>
      <c r="W104" s="926"/>
      <c r="X104" s="926"/>
      <c r="Y104" s="927"/>
      <c r="Z104" s="927"/>
      <c r="AA104" s="927"/>
      <c r="AB104" s="927"/>
      <c r="AC104" s="927"/>
      <c r="AD104" s="927"/>
      <c r="AE104" s="927"/>
      <c r="AF104" s="928"/>
      <c r="AG104" s="928"/>
      <c r="AH104" s="926"/>
      <c r="AI104" s="926"/>
      <c r="AJ104" s="926"/>
      <c r="AK104" s="929"/>
      <c r="AL104" s="929"/>
      <c r="AM104" s="929"/>
      <c r="AN104" s="929"/>
      <c r="AO104" s="929"/>
      <c r="AP104" s="930"/>
      <c r="AQ104" s="930"/>
      <c r="AR104" s="930"/>
      <c r="AS104" s="930"/>
      <c r="AT104" s="930"/>
      <c r="AU104" s="930"/>
      <c r="AV104" s="930"/>
      <c r="AW104" s="929"/>
      <c r="AX104" s="931"/>
      <c r="AY104" s="932"/>
    </row>
    <row r="105" spans="2:51" s="160" customFormat="1" x14ac:dyDescent="0.3">
      <c r="B105" s="890">
        <v>45967</v>
      </c>
      <c r="C105" s="891">
        <v>0</v>
      </c>
      <c r="D105" s="892" t="s">
        <v>1132</v>
      </c>
      <c r="E105" s="887" t="s">
        <v>1133</v>
      </c>
      <c r="F105" s="894">
        <v>1489.95</v>
      </c>
      <c r="G105" s="895"/>
      <c r="H105" s="895"/>
      <c r="I105" s="898">
        <f t="shared" si="1"/>
        <v>29164.149999999991</v>
      </c>
      <c r="J105" s="423"/>
      <c r="K105" s="896">
        <f t="shared" si="0"/>
        <v>1489.95</v>
      </c>
      <c r="L105" s="926">
        <v>0</v>
      </c>
      <c r="M105" s="902"/>
      <c r="N105" s="927"/>
      <c r="O105" s="926">
        <v>1267.95</v>
      </c>
      <c r="P105" s="926"/>
      <c r="Q105" s="926"/>
      <c r="R105" s="926"/>
      <c r="S105" s="926"/>
      <c r="T105" s="926"/>
      <c r="U105" s="926"/>
      <c r="V105" s="926"/>
      <c r="W105" s="926"/>
      <c r="X105" s="926"/>
      <c r="Y105" s="927"/>
      <c r="Z105" s="927"/>
      <c r="AA105" s="927"/>
      <c r="AB105" s="927"/>
      <c r="AC105" s="927"/>
      <c r="AD105" s="927"/>
      <c r="AE105" s="927"/>
      <c r="AF105" s="928"/>
      <c r="AG105" s="928"/>
      <c r="AH105" s="926"/>
      <c r="AI105" s="926"/>
      <c r="AJ105" s="926"/>
      <c r="AK105" s="929"/>
      <c r="AL105" s="929"/>
      <c r="AM105" s="929"/>
      <c r="AN105" s="929">
        <v>222</v>
      </c>
      <c r="AO105" s="929"/>
      <c r="AP105" s="930"/>
      <c r="AQ105" s="930"/>
      <c r="AR105" s="930"/>
      <c r="AS105" s="930"/>
      <c r="AT105" s="930"/>
      <c r="AU105" s="930"/>
      <c r="AV105" s="930"/>
      <c r="AW105" s="929"/>
      <c r="AX105" s="931"/>
      <c r="AY105" s="932"/>
    </row>
    <row r="106" spans="2:51" s="160" customFormat="1" x14ac:dyDescent="0.3">
      <c r="B106" s="890">
        <v>45967</v>
      </c>
      <c r="C106" s="891">
        <v>724594615</v>
      </c>
      <c r="D106" s="892" t="s">
        <v>1134</v>
      </c>
      <c r="E106" s="887" t="s">
        <v>1133</v>
      </c>
      <c r="F106" s="894">
        <v>46.52</v>
      </c>
      <c r="G106" s="895"/>
      <c r="H106" s="895"/>
      <c r="I106" s="898">
        <f t="shared" si="1"/>
        <v>29164.149999999991</v>
      </c>
      <c r="J106" s="423"/>
      <c r="K106" s="896">
        <f t="shared" si="0"/>
        <v>46.52</v>
      </c>
      <c r="L106" s="926">
        <v>1.92</v>
      </c>
      <c r="M106" s="902"/>
      <c r="N106" s="927"/>
      <c r="O106" s="926"/>
      <c r="P106" s="926"/>
      <c r="Q106" s="926"/>
      <c r="R106" s="926">
        <v>44.6</v>
      </c>
      <c r="S106" s="926"/>
      <c r="T106" s="926"/>
      <c r="U106" s="926"/>
      <c r="V106" s="926"/>
      <c r="W106" s="926"/>
      <c r="X106" s="926"/>
      <c r="Y106" s="927"/>
      <c r="Z106" s="927"/>
      <c r="AA106" s="927"/>
      <c r="AB106" s="927"/>
      <c r="AC106" s="927"/>
      <c r="AD106" s="927"/>
      <c r="AE106" s="927"/>
      <c r="AF106" s="928"/>
      <c r="AG106" s="928"/>
      <c r="AH106" s="926"/>
      <c r="AI106" s="926"/>
      <c r="AJ106" s="926"/>
      <c r="AK106" s="929"/>
      <c r="AL106" s="929"/>
      <c r="AM106" s="929"/>
      <c r="AN106" s="929"/>
      <c r="AO106" s="929"/>
      <c r="AP106" s="930"/>
      <c r="AQ106" s="930"/>
      <c r="AR106" s="930"/>
      <c r="AS106" s="930"/>
      <c r="AT106" s="930"/>
      <c r="AU106" s="930"/>
      <c r="AV106" s="930"/>
      <c r="AW106" s="929"/>
      <c r="AX106" s="931"/>
      <c r="AY106" s="932"/>
    </row>
    <row r="107" spans="2:51" s="160" customFormat="1" x14ac:dyDescent="0.3">
      <c r="B107" s="890">
        <v>45967</v>
      </c>
      <c r="C107" s="891">
        <v>250872112</v>
      </c>
      <c r="D107" s="892" t="s">
        <v>1135</v>
      </c>
      <c r="E107" s="887" t="s">
        <v>1133</v>
      </c>
      <c r="F107" s="894">
        <v>30.03</v>
      </c>
      <c r="G107" s="897">
        <f>SUM(F105:F107)</f>
        <v>1566.5</v>
      </c>
      <c r="H107" s="895"/>
      <c r="I107" s="898">
        <f t="shared" si="1"/>
        <v>27597.649999999991</v>
      </c>
      <c r="J107" s="423"/>
      <c r="K107" s="896">
        <f t="shared" si="0"/>
        <v>30.03</v>
      </c>
      <c r="L107" s="926">
        <v>5.01</v>
      </c>
      <c r="M107" s="902"/>
      <c r="N107" s="927"/>
      <c r="O107" s="926"/>
      <c r="P107" s="926"/>
      <c r="Q107" s="926"/>
      <c r="R107" s="926">
        <v>25.02</v>
      </c>
      <c r="S107" s="926"/>
      <c r="T107" s="926"/>
      <c r="U107" s="926"/>
      <c r="V107" s="926"/>
      <c r="W107" s="926"/>
      <c r="X107" s="926"/>
      <c r="Y107" s="927"/>
      <c r="Z107" s="927"/>
      <c r="AA107" s="927"/>
      <c r="AB107" s="927"/>
      <c r="AC107" s="927"/>
      <c r="AD107" s="927"/>
      <c r="AE107" s="927"/>
      <c r="AF107" s="928"/>
      <c r="AG107" s="928"/>
      <c r="AH107" s="926"/>
      <c r="AI107" s="926"/>
      <c r="AJ107" s="926"/>
      <c r="AK107" s="929"/>
      <c r="AL107" s="929"/>
      <c r="AM107" s="929"/>
      <c r="AN107" s="929"/>
      <c r="AO107" s="929"/>
      <c r="AP107" s="930"/>
      <c r="AQ107" s="930"/>
      <c r="AR107" s="930"/>
      <c r="AS107" s="930"/>
      <c r="AT107" s="930"/>
      <c r="AU107" s="930"/>
      <c r="AV107" s="930"/>
      <c r="AW107" s="929"/>
      <c r="AX107" s="931"/>
      <c r="AY107" s="932"/>
    </row>
    <row r="108" spans="2:51" s="160" customFormat="1" x14ac:dyDescent="0.3">
      <c r="B108" s="890">
        <v>45967</v>
      </c>
      <c r="C108" s="891">
        <v>0</v>
      </c>
      <c r="D108" s="892" t="s">
        <v>1136</v>
      </c>
      <c r="E108" s="887" t="s">
        <v>1137</v>
      </c>
      <c r="F108" s="894">
        <v>153.87</v>
      </c>
      <c r="G108" s="897">
        <v>153.87</v>
      </c>
      <c r="H108" s="895"/>
      <c r="I108" s="898">
        <f t="shared" si="1"/>
        <v>27443.779999999992</v>
      </c>
      <c r="J108" s="423"/>
      <c r="K108" s="896">
        <f t="shared" si="0"/>
        <v>153.87</v>
      </c>
      <c r="L108" s="926">
        <v>0</v>
      </c>
      <c r="M108" s="902"/>
      <c r="N108" s="927"/>
      <c r="O108" s="926"/>
      <c r="P108" s="926"/>
      <c r="Q108" s="926"/>
      <c r="R108" s="926"/>
      <c r="S108" s="926"/>
      <c r="T108" s="926"/>
      <c r="U108" s="926"/>
      <c r="V108" s="926"/>
      <c r="W108" s="926"/>
      <c r="X108" s="926"/>
      <c r="Y108" s="927"/>
      <c r="Z108" s="927"/>
      <c r="AA108" s="927"/>
      <c r="AB108" s="927"/>
      <c r="AC108" s="927"/>
      <c r="AD108" s="927"/>
      <c r="AE108" s="927"/>
      <c r="AF108" s="928"/>
      <c r="AG108" s="928"/>
      <c r="AH108" s="926"/>
      <c r="AI108" s="926"/>
      <c r="AJ108" s="926"/>
      <c r="AK108" s="929"/>
      <c r="AL108" s="929"/>
      <c r="AM108" s="929"/>
      <c r="AN108" s="929"/>
      <c r="AO108" s="929">
        <v>153.87</v>
      </c>
      <c r="AP108" s="930"/>
      <c r="AQ108" s="930"/>
      <c r="AR108" s="930"/>
      <c r="AS108" s="930"/>
      <c r="AT108" s="930"/>
      <c r="AU108" s="930"/>
      <c r="AV108" s="930"/>
      <c r="AW108" s="929"/>
      <c r="AX108" s="931"/>
      <c r="AY108" s="932"/>
    </row>
    <row r="109" spans="2:51" s="160" customFormat="1" x14ac:dyDescent="0.3">
      <c r="B109" s="890">
        <v>45967</v>
      </c>
      <c r="C109" s="891">
        <v>0</v>
      </c>
      <c r="D109" s="892" t="s">
        <v>1138</v>
      </c>
      <c r="E109" s="887" t="s">
        <v>1139</v>
      </c>
      <c r="F109" s="894">
        <v>425.29</v>
      </c>
      <c r="G109" s="897">
        <v>425.29</v>
      </c>
      <c r="H109" s="895"/>
      <c r="I109" s="898">
        <f t="shared" si="1"/>
        <v>27018.489999999991</v>
      </c>
      <c r="J109" s="423"/>
      <c r="K109" s="896">
        <f t="shared" si="0"/>
        <v>425.28999999999996</v>
      </c>
      <c r="L109" s="926">
        <v>0</v>
      </c>
      <c r="M109" s="902"/>
      <c r="N109" s="927"/>
      <c r="O109" s="926">
        <v>183.04</v>
      </c>
      <c r="P109" s="926"/>
      <c r="Q109" s="926">
        <v>203.85</v>
      </c>
      <c r="R109" s="926"/>
      <c r="S109" s="926"/>
      <c r="T109" s="926"/>
      <c r="U109" s="926"/>
      <c r="V109" s="926"/>
      <c r="W109" s="926"/>
      <c r="X109" s="926"/>
      <c r="Y109" s="927"/>
      <c r="Z109" s="927"/>
      <c r="AA109" s="927"/>
      <c r="AB109" s="927"/>
      <c r="AC109" s="927"/>
      <c r="AD109" s="927"/>
      <c r="AE109" s="927"/>
      <c r="AF109" s="928"/>
      <c r="AG109" s="928"/>
      <c r="AH109" s="926"/>
      <c r="AI109" s="926"/>
      <c r="AJ109" s="926"/>
      <c r="AK109" s="929"/>
      <c r="AL109" s="929"/>
      <c r="AM109" s="929"/>
      <c r="AN109" s="929"/>
      <c r="AO109" s="929">
        <v>38.4</v>
      </c>
      <c r="AP109" s="930"/>
      <c r="AQ109" s="930"/>
      <c r="AR109" s="930"/>
      <c r="AS109" s="930"/>
      <c r="AT109" s="930"/>
      <c r="AU109" s="930"/>
      <c r="AV109" s="930"/>
      <c r="AW109" s="929"/>
      <c r="AX109" s="931"/>
      <c r="AY109" s="932"/>
    </row>
    <row r="110" spans="2:51" s="160" customFormat="1" x14ac:dyDescent="0.3">
      <c r="B110" s="890">
        <v>45967</v>
      </c>
      <c r="C110" s="891">
        <v>0</v>
      </c>
      <c r="D110" s="892" t="s">
        <v>1140</v>
      </c>
      <c r="E110" s="887" t="s">
        <v>1141</v>
      </c>
      <c r="F110" s="894">
        <v>499.06</v>
      </c>
      <c r="G110" s="897">
        <v>499.06</v>
      </c>
      <c r="H110" s="895"/>
      <c r="I110" s="898">
        <f t="shared" si="1"/>
        <v>26519.429999999989</v>
      </c>
      <c r="J110" s="423"/>
      <c r="K110" s="896">
        <f t="shared" si="0"/>
        <v>499.06</v>
      </c>
      <c r="L110" s="926">
        <v>0</v>
      </c>
      <c r="M110" s="902"/>
      <c r="N110" s="927"/>
      <c r="O110" s="926">
        <v>103.01</v>
      </c>
      <c r="P110" s="926">
        <v>396.05</v>
      </c>
      <c r="Q110" s="926"/>
      <c r="R110" s="926"/>
      <c r="S110" s="926"/>
      <c r="T110" s="926"/>
      <c r="U110" s="926"/>
      <c r="V110" s="926"/>
      <c r="W110" s="926"/>
      <c r="X110" s="926"/>
      <c r="Y110" s="927"/>
      <c r="Z110" s="927"/>
      <c r="AA110" s="927"/>
      <c r="AB110" s="927"/>
      <c r="AC110" s="927"/>
      <c r="AD110" s="927"/>
      <c r="AE110" s="927"/>
      <c r="AF110" s="928"/>
      <c r="AG110" s="928"/>
      <c r="AH110" s="926"/>
      <c r="AI110" s="926"/>
      <c r="AJ110" s="926"/>
      <c r="AK110" s="929"/>
      <c r="AL110" s="929"/>
      <c r="AM110" s="929"/>
      <c r="AN110" s="929"/>
      <c r="AO110" s="929"/>
      <c r="AP110" s="930"/>
      <c r="AQ110" s="930"/>
      <c r="AR110" s="930"/>
      <c r="AS110" s="930"/>
      <c r="AT110" s="930"/>
      <c r="AU110" s="930"/>
      <c r="AV110" s="930"/>
      <c r="AW110" s="929"/>
      <c r="AX110" s="931"/>
      <c r="AY110" s="932"/>
    </row>
    <row r="111" spans="2:51" s="160" customFormat="1" x14ac:dyDescent="0.3">
      <c r="B111" s="890">
        <v>45967</v>
      </c>
      <c r="C111" s="891">
        <v>0</v>
      </c>
      <c r="D111" s="892" t="s">
        <v>1142</v>
      </c>
      <c r="E111" s="887" t="s">
        <v>1143</v>
      </c>
      <c r="F111" s="894">
        <v>70</v>
      </c>
      <c r="G111" s="897">
        <v>70</v>
      </c>
      <c r="H111" s="895"/>
      <c r="I111" s="898">
        <f t="shared" si="1"/>
        <v>26449.429999999989</v>
      </c>
      <c r="J111" s="423"/>
      <c r="K111" s="896">
        <f t="shared" si="0"/>
        <v>70</v>
      </c>
      <c r="L111" s="926">
        <v>0</v>
      </c>
      <c r="M111" s="902"/>
      <c r="N111" s="927"/>
      <c r="O111" s="926"/>
      <c r="P111" s="926"/>
      <c r="Q111" s="926"/>
      <c r="R111" s="926"/>
      <c r="S111" s="926"/>
      <c r="T111" s="926"/>
      <c r="U111" s="926"/>
      <c r="V111" s="926"/>
      <c r="W111" s="926"/>
      <c r="X111" s="926"/>
      <c r="Y111" s="927">
        <v>70</v>
      </c>
      <c r="Z111" s="927"/>
      <c r="AA111" s="927"/>
      <c r="AB111" s="927"/>
      <c r="AC111" s="927"/>
      <c r="AD111" s="927"/>
      <c r="AE111" s="927"/>
      <c r="AF111" s="928"/>
      <c r="AG111" s="928"/>
      <c r="AH111" s="926"/>
      <c r="AI111" s="926"/>
      <c r="AJ111" s="926"/>
      <c r="AK111" s="929"/>
      <c r="AL111" s="929"/>
      <c r="AM111" s="929"/>
      <c r="AN111" s="929"/>
      <c r="AO111" s="929"/>
      <c r="AP111" s="930"/>
      <c r="AQ111" s="930"/>
      <c r="AR111" s="930"/>
      <c r="AS111" s="930"/>
      <c r="AT111" s="930"/>
      <c r="AU111" s="930"/>
      <c r="AV111" s="930"/>
      <c r="AW111" s="929"/>
      <c r="AX111" s="931"/>
      <c r="AY111" s="932"/>
    </row>
    <row r="112" spans="2:51" s="160" customFormat="1" x14ac:dyDescent="0.3">
      <c r="B112" s="890">
        <v>45967</v>
      </c>
      <c r="C112" s="891">
        <v>575922800</v>
      </c>
      <c r="D112" s="892" t="s">
        <v>1144</v>
      </c>
      <c r="E112" s="887" t="s">
        <v>1145</v>
      </c>
      <c r="F112" s="894">
        <v>12.39</v>
      </c>
      <c r="G112" s="897">
        <v>12.39</v>
      </c>
      <c r="H112" s="895"/>
      <c r="I112" s="898">
        <f t="shared" si="1"/>
        <v>26437.03999999999</v>
      </c>
      <c r="J112" s="423"/>
      <c r="K112" s="896">
        <f t="shared" si="0"/>
        <v>12.39</v>
      </c>
      <c r="L112" s="926">
        <v>2.06</v>
      </c>
      <c r="M112" s="902"/>
      <c r="N112" s="927"/>
      <c r="O112" s="926"/>
      <c r="P112" s="926"/>
      <c r="Q112" s="926"/>
      <c r="R112" s="926"/>
      <c r="S112" s="926"/>
      <c r="T112" s="926"/>
      <c r="U112" s="926"/>
      <c r="V112" s="926"/>
      <c r="W112" s="926"/>
      <c r="X112" s="926"/>
      <c r="Y112" s="927"/>
      <c r="Z112" s="927"/>
      <c r="AA112" s="927"/>
      <c r="AB112" s="927"/>
      <c r="AC112" s="927"/>
      <c r="AD112" s="927"/>
      <c r="AE112" s="927"/>
      <c r="AF112" s="928"/>
      <c r="AG112" s="928"/>
      <c r="AH112" s="926"/>
      <c r="AI112" s="926"/>
      <c r="AJ112" s="926"/>
      <c r="AK112" s="929"/>
      <c r="AL112" s="929"/>
      <c r="AM112" s="929"/>
      <c r="AN112" s="929"/>
      <c r="AO112" s="929"/>
      <c r="AP112" s="930"/>
      <c r="AQ112" s="930"/>
      <c r="AR112" s="930"/>
      <c r="AS112" s="930"/>
      <c r="AT112" s="930"/>
      <c r="AU112" s="930"/>
      <c r="AV112" s="930"/>
      <c r="AW112" s="929"/>
      <c r="AX112" s="931">
        <v>10.33</v>
      </c>
      <c r="AY112" s="932"/>
    </row>
    <row r="113" spans="2:51" s="160" customFormat="1" x14ac:dyDescent="0.3">
      <c r="B113" s="890">
        <v>45967</v>
      </c>
      <c r="C113" s="891">
        <v>156056022</v>
      </c>
      <c r="D113" s="892" t="s">
        <v>1146</v>
      </c>
      <c r="E113" s="887" t="s">
        <v>1147</v>
      </c>
      <c r="F113" s="894">
        <v>108</v>
      </c>
      <c r="G113" s="897">
        <v>108</v>
      </c>
      <c r="H113" s="895"/>
      <c r="I113" s="898">
        <f t="shared" si="1"/>
        <v>26329.03999999999</v>
      </c>
      <c r="J113" s="423"/>
      <c r="K113" s="896">
        <f t="shared" si="0"/>
        <v>108</v>
      </c>
      <c r="L113" s="926">
        <v>18</v>
      </c>
      <c r="M113" s="902"/>
      <c r="N113" s="927"/>
      <c r="O113" s="926"/>
      <c r="P113" s="926"/>
      <c r="Q113" s="926"/>
      <c r="R113" s="926"/>
      <c r="S113" s="926"/>
      <c r="T113" s="926"/>
      <c r="U113" s="926"/>
      <c r="V113" s="926"/>
      <c r="W113" s="926"/>
      <c r="X113" s="926"/>
      <c r="Y113" s="927"/>
      <c r="Z113" s="927"/>
      <c r="AA113" s="927"/>
      <c r="AB113" s="927"/>
      <c r="AC113" s="927"/>
      <c r="AD113" s="927"/>
      <c r="AE113" s="927"/>
      <c r="AF113" s="928"/>
      <c r="AG113" s="928"/>
      <c r="AH113" s="926"/>
      <c r="AI113" s="926"/>
      <c r="AJ113" s="926"/>
      <c r="AK113" s="929"/>
      <c r="AL113" s="929"/>
      <c r="AM113" s="929"/>
      <c r="AN113" s="929"/>
      <c r="AO113" s="929"/>
      <c r="AP113" s="930"/>
      <c r="AQ113" s="930">
        <v>90</v>
      </c>
      <c r="AR113" s="930"/>
      <c r="AS113" s="930"/>
      <c r="AT113" s="930"/>
      <c r="AU113" s="930"/>
      <c r="AV113" s="930"/>
      <c r="AW113" s="929"/>
      <c r="AX113" s="931"/>
      <c r="AY113" s="932"/>
    </row>
    <row r="114" spans="2:51" s="160" customFormat="1" x14ac:dyDescent="0.3">
      <c r="B114" s="890">
        <v>45967</v>
      </c>
      <c r="C114" s="891">
        <v>406821467</v>
      </c>
      <c r="D114" s="892" t="s">
        <v>1148</v>
      </c>
      <c r="E114" s="887" t="s">
        <v>1149</v>
      </c>
      <c r="F114" s="894">
        <v>505.96</v>
      </c>
      <c r="G114" s="895"/>
      <c r="H114" s="895"/>
      <c r="I114" s="898">
        <f t="shared" si="1"/>
        <v>26329.03999999999</v>
      </c>
      <c r="J114" s="423"/>
      <c r="K114" s="896">
        <f t="shared" si="0"/>
        <v>505.96</v>
      </c>
      <c r="L114" s="926">
        <v>84.33</v>
      </c>
      <c r="M114" s="902"/>
      <c r="N114" s="927"/>
      <c r="O114" s="926"/>
      <c r="P114" s="926"/>
      <c r="Q114" s="926"/>
      <c r="R114" s="926"/>
      <c r="S114" s="926"/>
      <c r="T114" s="926"/>
      <c r="U114" s="926"/>
      <c r="V114" s="926"/>
      <c r="W114" s="926"/>
      <c r="X114" s="926"/>
      <c r="Y114" s="927"/>
      <c r="Z114" s="927"/>
      <c r="AA114" s="927"/>
      <c r="AB114" s="927"/>
      <c r="AC114" s="927"/>
      <c r="AD114" s="927"/>
      <c r="AE114" s="927"/>
      <c r="AF114" s="928"/>
      <c r="AG114" s="928"/>
      <c r="AH114" s="926"/>
      <c r="AI114" s="926"/>
      <c r="AJ114" s="926"/>
      <c r="AK114" s="929"/>
      <c r="AL114" s="929"/>
      <c r="AM114" s="929"/>
      <c r="AN114" s="929"/>
      <c r="AO114" s="929"/>
      <c r="AP114" s="930"/>
      <c r="AQ114" s="930"/>
      <c r="AR114" s="930">
        <v>421.63</v>
      </c>
      <c r="AS114" s="930"/>
      <c r="AT114" s="930"/>
      <c r="AU114" s="930"/>
      <c r="AV114" s="930"/>
      <c r="AW114" s="929"/>
      <c r="AX114" s="931"/>
      <c r="AY114" s="932"/>
    </row>
    <row r="115" spans="2:51" s="160" customFormat="1" x14ac:dyDescent="0.3">
      <c r="B115" s="890">
        <v>45967</v>
      </c>
      <c r="C115" s="891">
        <v>406821467</v>
      </c>
      <c r="D115" s="892" t="s">
        <v>1150</v>
      </c>
      <c r="E115" s="887" t="s">
        <v>1149</v>
      </c>
      <c r="F115" s="894">
        <v>88.2</v>
      </c>
      <c r="G115" s="897">
        <f>SUM(F114:F115)</f>
        <v>594.16</v>
      </c>
      <c r="H115" s="895"/>
      <c r="I115" s="898">
        <f t="shared" si="1"/>
        <v>25734.87999999999</v>
      </c>
      <c r="J115" s="423"/>
      <c r="K115" s="896">
        <f t="shared" si="0"/>
        <v>88.2</v>
      </c>
      <c r="L115" s="926">
        <v>14.7</v>
      </c>
      <c r="M115" s="902"/>
      <c r="N115" s="927"/>
      <c r="O115" s="926"/>
      <c r="P115" s="926"/>
      <c r="Q115" s="926"/>
      <c r="R115" s="926"/>
      <c r="S115" s="926"/>
      <c r="T115" s="926"/>
      <c r="U115" s="926"/>
      <c r="V115" s="926"/>
      <c r="W115" s="926"/>
      <c r="X115" s="926"/>
      <c r="Y115" s="927"/>
      <c r="Z115" s="927"/>
      <c r="AA115" s="927"/>
      <c r="AB115" s="927"/>
      <c r="AC115" s="927"/>
      <c r="AD115" s="927"/>
      <c r="AE115" s="927"/>
      <c r="AF115" s="928"/>
      <c r="AG115" s="928"/>
      <c r="AH115" s="926"/>
      <c r="AI115" s="926"/>
      <c r="AJ115" s="926"/>
      <c r="AK115" s="929"/>
      <c r="AL115" s="929"/>
      <c r="AM115" s="929"/>
      <c r="AN115" s="929"/>
      <c r="AO115" s="929"/>
      <c r="AP115" s="930"/>
      <c r="AQ115" s="930">
        <v>73.5</v>
      </c>
      <c r="AR115" s="930"/>
      <c r="AS115" s="930"/>
      <c r="AT115" s="930"/>
      <c r="AU115" s="930"/>
      <c r="AV115" s="930"/>
      <c r="AW115" s="929"/>
      <c r="AX115" s="931"/>
      <c r="AY115" s="932"/>
    </row>
    <row r="116" spans="2:51" s="160" customFormat="1" x14ac:dyDescent="0.3">
      <c r="B116" s="890">
        <v>45967</v>
      </c>
      <c r="C116" s="891">
        <v>131505120</v>
      </c>
      <c r="D116" s="892" t="s">
        <v>1152</v>
      </c>
      <c r="E116" s="887" t="s">
        <v>1151</v>
      </c>
      <c r="F116" s="894">
        <v>161.35</v>
      </c>
      <c r="G116" s="897">
        <v>161.35</v>
      </c>
      <c r="H116" s="895"/>
      <c r="I116" s="898">
        <f t="shared" si="1"/>
        <v>25573.529999999992</v>
      </c>
      <c r="J116" s="423"/>
      <c r="K116" s="896">
        <f t="shared" si="0"/>
        <v>161.35000000000002</v>
      </c>
      <c r="L116" s="926">
        <v>26.89</v>
      </c>
      <c r="M116" s="902"/>
      <c r="N116" s="927"/>
      <c r="O116" s="926"/>
      <c r="P116" s="926"/>
      <c r="Q116" s="926"/>
      <c r="R116" s="926"/>
      <c r="S116" s="926"/>
      <c r="T116" s="926"/>
      <c r="U116" s="926"/>
      <c r="V116" s="926"/>
      <c r="W116" s="926"/>
      <c r="X116" s="926"/>
      <c r="Y116" s="927"/>
      <c r="Z116" s="927"/>
      <c r="AA116" s="927"/>
      <c r="AB116" s="927"/>
      <c r="AC116" s="927"/>
      <c r="AD116" s="927"/>
      <c r="AE116" s="927"/>
      <c r="AF116" s="928"/>
      <c r="AG116" s="928"/>
      <c r="AH116" s="926"/>
      <c r="AI116" s="926"/>
      <c r="AJ116" s="926"/>
      <c r="AK116" s="929"/>
      <c r="AL116" s="929"/>
      <c r="AM116" s="929"/>
      <c r="AN116" s="929"/>
      <c r="AO116" s="929"/>
      <c r="AP116" s="930"/>
      <c r="AQ116" s="930"/>
      <c r="AR116" s="930"/>
      <c r="AS116" s="930"/>
      <c r="AT116" s="930"/>
      <c r="AU116" s="930"/>
      <c r="AV116" s="930"/>
      <c r="AW116" s="929">
        <v>134.46</v>
      </c>
      <c r="AX116" s="931"/>
      <c r="AY116" s="932"/>
    </row>
    <row r="117" spans="2:51" s="160" customFormat="1" ht="15" customHeight="1" x14ac:dyDescent="0.3">
      <c r="B117" s="890">
        <v>45967</v>
      </c>
      <c r="C117" s="891">
        <v>0</v>
      </c>
      <c r="D117" s="892" t="s">
        <v>1154</v>
      </c>
      <c r="E117" s="887" t="s">
        <v>1153</v>
      </c>
      <c r="F117" s="894">
        <v>15</v>
      </c>
      <c r="G117" s="897">
        <v>15</v>
      </c>
      <c r="H117" s="895"/>
      <c r="I117" s="898">
        <f t="shared" si="1"/>
        <v>25558.529999999992</v>
      </c>
      <c r="J117" s="423"/>
      <c r="K117" s="896">
        <f t="shared" si="0"/>
        <v>15</v>
      </c>
      <c r="L117" s="926">
        <v>0</v>
      </c>
      <c r="M117" s="902"/>
      <c r="N117" s="927"/>
      <c r="O117" s="926"/>
      <c r="P117" s="926"/>
      <c r="Q117" s="926"/>
      <c r="R117" s="926"/>
      <c r="S117" s="926"/>
      <c r="T117" s="926"/>
      <c r="U117" s="926"/>
      <c r="V117" s="926"/>
      <c r="W117" s="926"/>
      <c r="X117" s="926"/>
      <c r="Y117" s="927">
        <v>15</v>
      </c>
      <c r="Z117" s="927"/>
      <c r="AA117" s="927"/>
      <c r="AB117" s="927"/>
      <c r="AC117" s="927"/>
      <c r="AD117" s="927"/>
      <c r="AE117" s="927"/>
      <c r="AF117" s="928"/>
      <c r="AG117" s="928"/>
      <c r="AH117" s="926"/>
      <c r="AI117" s="926"/>
      <c r="AJ117" s="926"/>
      <c r="AK117" s="929"/>
      <c r="AL117" s="929"/>
      <c r="AM117" s="929"/>
      <c r="AN117" s="929"/>
      <c r="AO117" s="929"/>
      <c r="AP117" s="930"/>
      <c r="AQ117" s="930"/>
      <c r="AR117" s="930"/>
      <c r="AS117" s="930"/>
      <c r="AT117" s="930"/>
      <c r="AU117" s="930"/>
      <c r="AV117" s="930"/>
      <c r="AW117" s="929"/>
      <c r="AX117" s="931"/>
      <c r="AY117" s="932"/>
    </row>
    <row r="118" spans="2:51" s="160" customFormat="1" ht="15" customHeight="1" x14ac:dyDescent="0.3">
      <c r="B118" s="890">
        <v>45967</v>
      </c>
      <c r="C118" s="891">
        <v>0</v>
      </c>
      <c r="D118" s="892" t="s">
        <v>1156</v>
      </c>
      <c r="E118" s="887" t="s">
        <v>1155</v>
      </c>
      <c r="F118" s="894">
        <v>10359.69</v>
      </c>
      <c r="G118" s="897">
        <v>10359.69</v>
      </c>
      <c r="H118" s="895"/>
      <c r="I118" s="898">
        <f t="shared" si="1"/>
        <v>15198.839999999991</v>
      </c>
      <c r="J118" s="423"/>
      <c r="K118" s="896">
        <f t="shared" si="0"/>
        <v>10359.69</v>
      </c>
      <c r="L118" s="926">
        <v>0</v>
      </c>
      <c r="M118" s="902"/>
      <c r="N118" s="927"/>
      <c r="O118" s="926"/>
      <c r="P118" s="926"/>
      <c r="Q118" s="926"/>
      <c r="R118" s="926"/>
      <c r="S118" s="926"/>
      <c r="T118" s="926"/>
      <c r="U118" s="926">
        <v>3790.48</v>
      </c>
      <c r="V118" s="926">
        <v>6569.21</v>
      </c>
      <c r="W118" s="926"/>
      <c r="X118" s="926"/>
      <c r="Y118" s="927"/>
      <c r="Z118" s="927"/>
      <c r="AA118" s="927"/>
      <c r="AB118" s="927"/>
      <c r="AC118" s="927"/>
      <c r="AD118" s="927"/>
      <c r="AE118" s="927"/>
      <c r="AF118" s="928"/>
      <c r="AG118" s="928"/>
      <c r="AH118" s="926"/>
      <c r="AI118" s="926"/>
      <c r="AJ118" s="926"/>
      <c r="AK118" s="929"/>
      <c r="AL118" s="929"/>
      <c r="AM118" s="929"/>
      <c r="AN118" s="929"/>
      <c r="AO118" s="929"/>
      <c r="AP118" s="930"/>
      <c r="AQ118" s="930"/>
      <c r="AR118" s="930"/>
      <c r="AS118" s="930"/>
      <c r="AT118" s="930"/>
      <c r="AU118" s="930"/>
      <c r="AV118" s="930"/>
      <c r="AW118" s="929"/>
      <c r="AX118" s="931"/>
      <c r="AY118" s="932"/>
    </row>
    <row r="119" spans="2:51" s="160" customFormat="1" ht="15" customHeight="1" x14ac:dyDescent="0.3">
      <c r="B119" s="890">
        <v>45967</v>
      </c>
      <c r="C119" s="891">
        <v>245719348</v>
      </c>
      <c r="D119" s="892" t="s">
        <v>1158</v>
      </c>
      <c r="E119" s="887" t="s">
        <v>1157</v>
      </c>
      <c r="F119" s="894">
        <v>25.43</v>
      </c>
      <c r="G119" s="897">
        <v>25.43</v>
      </c>
      <c r="H119" s="895"/>
      <c r="I119" s="898">
        <f t="shared" si="1"/>
        <v>15173.409999999991</v>
      </c>
      <c r="J119" s="423"/>
      <c r="K119" s="896">
        <f t="shared" si="0"/>
        <v>25.43</v>
      </c>
      <c r="L119" s="926">
        <v>4.24</v>
      </c>
      <c r="M119" s="902"/>
      <c r="N119" s="927"/>
      <c r="O119" s="926"/>
      <c r="P119" s="926"/>
      <c r="Q119" s="926"/>
      <c r="R119" s="926"/>
      <c r="S119" s="926"/>
      <c r="T119" s="926"/>
      <c r="U119" s="926"/>
      <c r="V119" s="926"/>
      <c r="W119" s="926"/>
      <c r="X119" s="926"/>
      <c r="Y119" s="927"/>
      <c r="Z119" s="927"/>
      <c r="AA119" s="927"/>
      <c r="AB119" s="927"/>
      <c r="AC119" s="927"/>
      <c r="AD119" s="927"/>
      <c r="AE119" s="927"/>
      <c r="AF119" s="928"/>
      <c r="AG119" s="928"/>
      <c r="AH119" s="926"/>
      <c r="AI119" s="926"/>
      <c r="AJ119" s="926"/>
      <c r="AK119" s="929"/>
      <c r="AL119" s="929"/>
      <c r="AM119" s="929"/>
      <c r="AN119" s="929"/>
      <c r="AO119" s="929"/>
      <c r="AP119" s="930"/>
      <c r="AQ119" s="930"/>
      <c r="AR119" s="930"/>
      <c r="AS119" s="930"/>
      <c r="AT119" s="930"/>
      <c r="AU119" s="930"/>
      <c r="AV119" s="930"/>
      <c r="AW119" s="929"/>
      <c r="AX119" s="931"/>
      <c r="AY119" s="932">
        <v>21.19</v>
      </c>
    </row>
    <row r="120" spans="2:51" s="160" customFormat="1" ht="15" customHeight="1" x14ac:dyDescent="0.3">
      <c r="B120" s="890">
        <v>45940</v>
      </c>
      <c r="C120" s="891">
        <v>0</v>
      </c>
      <c r="D120" s="892" t="s">
        <v>1167</v>
      </c>
      <c r="E120" s="887" t="s">
        <v>1126</v>
      </c>
      <c r="F120" s="894">
        <v>-252</v>
      </c>
      <c r="G120" s="897">
        <v>-252</v>
      </c>
      <c r="H120" s="895"/>
      <c r="I120" s="898">
        <f t="shared" si="1"/>
        <v>15425.409999999991</v>
      </c>
      <c r="J120" s="423"/>
      <c r="K120" s="896">
        <f t="shared" si="0"/>
        <v>-252</v>
      </c>
      <c r="L120" s="926">
        <v>0</v>
      </c>
      <c r="M120" s="902"/>
      <c r="N120" s="927"/>
      <c r="O120" s="926"/>
      <c r="P120" s="926"/>
      <c r="Q120" s="926"/>
      <c r="R120" s="926"/>
      <c r="S120" s="926"/>
      <c r="T120" s="926"/>
      <c r="U120" s="926"/>
      <c r="V120" s="926"/>
      <c r="W120" s="926"/>
      <c r="X120" s="926"/>
      <c r="Y120" s="927"/>
      <c r="Z120" s="927"/>
      <c r="AA120" s="927"/>
      <c r="AB120" s="927"/>
      <c r="AC120" s="927"/>
      <c r="AD120" s="927"/>
      <c r="AE120" s="927"/>
      <c r="AF120" s="928"/>
      <c r="AG120" s="928"/>
      <c r="AH120" s="926"/>
      <c r="AI120" s="926"/>
      <c r="AJ120" s="926"/>
      <c r="AK120" s="929"/>
      <c r="AL120" s="929"/>
      <c r="AM120" s="929"/>
      <c r="AN120" s="929"/>
      <c r="AO120" s="929"/>
      <c r="AP120" s="930">
        <v>-252</v>
      </c>
      <c r="AQ120" s="930"/>
      <c r="AR120" s="930"/>
      <c r="AS120" s="930"/>
      <c r="AT120" s="930"/>
      <c r="AU120" s="930"/>
      <c r="AV120" s="930"/>
      <c r="AW120" s="929"/>
      <c r="AX120" s="931"/>
      <c r="AY120" s="932"/>
    </row>
    <row r="121" spans="2:51" s="160" customFormat="1" ht="15" customHeight="1" x14ac:dyDescent="0.3">
      <c r="B121" s="890">
        <v>45957</v>
      </c>
      <c r="C121" s="891">
        <v>0</v>
      </c>
      <c r="D121" s="892" t="s">
        <v>979</v>
      </c>
      <c r="E121" s="887" t="s">
        <v>1168</v>
      </c>
      <c r="F121" s="894">
        <v>4.25</v>
      </c>
      <c r="G121" s="897">
        <v>4.25</v>
      </c>
      <c r="H121" s="895"/>
      <c r="I121" s="898">
        <f t="shared" si="1"/>
        <v>15421.159999999991</v>
      </c>
      <c r="J121" s="423"/>
      <c r="K121" s="896">
        <f t="shared" si="0"/>
        <v>4.25</v>
      </c>
      <c r="L121" s="926">
        <v>0</v>
      </c>
      <c r="M121" s="902"/>
      <c r="N121" s="927"/>
      <c r="O121" s="926"/>
      <c r="P121" s="926"/>
      <c r="Q121" s="926"/>
      <c r="R121" s="926"/>
      <c r="S121" s="926"/>
      <c r="T121" s="926">
        <v>4.25</v>
      </c>
      <c r="U121" s="926"/>
      <c r="V121" s="926"/>
      <c r="W121" s="926"/>
      <c r="X121" s="926"/>
      <c r="Y121" s="927"/>
      <c r="Z121" s="927"/>
      <c r="AA121" s="927"/>
      <c r="AB121" s="927"/>
      <c r="AC121" s="927"/>
      <c r="AD121" s="927"/>
      <c r="AE121" s="927"/>
      <c r="AF121" s="928"/>
      <c r="AG121" s="928"/>
      <c r="AH121" s="926"/>
      <c r="AI121" s="926"/>
      <c r="AJ121" s="926"/>
      <c r="AK121" s="929"/>
      <c r="AL121" s="929"/>
      <c r="AM121" s="929"/>
      <c r="AN121" s="929"/>
      <c r="AO121" s="929"/>
      <c r="AP121" s="930"/>
      <c r="AQ121" s="930"/>
      <c r="AR121" s="930"/>
      <c r="AS121" s="930"/>
      <c r="AT121" s="930"/>
      <c r="AU121" s="930"/>
      <c r="AV121" s="930"/>
      <c r="AW121" s="929"/>
      <c r="AX121" s="931"/>
      <c r="AY121" s="932"/>
    </row>
    <row r="122" spans="2:51" s="160" customFormat="1" ht="15" customHeight="1" x14ac:dyDescent="0.3">
      <c r="B122" s="890">
        <v>45973</v>
      </c>
      <c r="C122" s="891">
        <v>0</v>
      </c>
      <c r="D122" s="892" t="s">
        <v>1169</v>
      </c>
      <c r="E122" s="887" t="s">
        <v>1170</v>
      </c>
      <c r="F122" s="894">
        <v>50</v>
      </c>
      <c r="G122" s="897">
        <v>50</v>
      </c>
      <c r="H122" s="895"/>
      <c r="I122" s="898">
        <f t="shared" si="1"/>
        <v>15371.159999999991</v>
      </c>
      <c r="J122" s="423"/>
      <c r="K122" s="896">
        <f t="shared" si="0"/>
        <v>50</v>
      </c>
      <c r="L122" s="926">
        <v>0</v>
      </c>
      <c r="M122" s="902"/>
      <c r="N122" s="927"/>
      <c r="O122" s="926"/>
      <c r="P122" s="926"/>
      <c r="Q122" s="926"/>
      <c r="R122" s="926"/>
      <c r="S122" s="926"/>
      <c r="T122" s="926"/>
      <c r="U122" s="926"/>
      <c r="V122" s="926"/>
      <c r="W122" s="926"/>
      <c r="X122" s="926"/>
      <c r="Y122" s="927"/>
      <c r="Z122" s="927"/>
      <c r="AA122" s="927"/>
      <c r="AB122" s="927"/>
      <c r="AC122" s="927">
        <v>50</v>
      </c>
      <c r="AD122" s="927"/>
      <c r="AE122" s="927"/>
      <c r="AF122" s="928"/>
      <c r="AG122" s="928"/>
      <c r="AH122" s="926"/>
      <c r="AI122" s="926"/>
      <c r="AJ122" s="926"/>
      <c r="AK122" s="929"/>
      <c r="AL122" s="929"/>
      <c r="AM122" s="929"/>
      <c r="AN122" s="929"/>
      <c r="AO122" s="929"/>
      <c r="AP122" s="930"/>
      <c r="AQ122" s="930"/>
      <c r="AR122" s="930"/>
      <c r="AS122" s="930"/>
      <c r="AT122" s="930"/>
      <c r="AU122" s="930"/>
      <c r="AV122" s="930"/>
      <c r="AW122" s="929"/>
      <c r="AX122" s="931"/>
      <c r="AY122" s="932"/>
    </row>
    <row r="123" spans="2:51" s="160" customFormat="1" ht="15" customHeight="1" x14ac:dyDescent="0.3">
      <c r="B123" s="890">
        <v>45980</v>
      </c>
      <c r="C123" s="891">
        <v>245719348</v>
      </c>
      <c r="D123" s="892" t="s">
        <v>1202</v>
      </c>
      <c r="E123" s="887" t="s">
        <v>1203</v>
      </c>
      <c r="F123" s="894">
        <v>25.43</v>
      </c>
      <c r="G123" s="897">
        <v>25.43</v>
      </c>
      <c r="H123" s="895"/>
      <c r="I123" s="898">
        <f t="shared" si="1"/>
        <v>15345.72999999999</v>
      </c>
      <c r="J123" s="423"/>
      <c r="K123" s="896">
        <f t="shared" si="0"/>
        <v>25.43</v>
      </c>
      <c r="L123" s="926">
        <v>4.24</v>
      </c>
      <c r="M123" s="902"/>
      <c r="N123" s="927"/>
      <c r="O123" s="926"/>
      <c r="P123" s="926"/>
      <c r="Q123" s="926"/>
      <c r="R123" s="926"/>
      <c r="S123" s="926"/>
      <c r="T123" s="926"/>
      <c r="U123" s="926"/>
      <c r="V123" s="926"/>
      <c r="W123" s="926"/>
      <c r="X123" s="926"/>
      <c r="Y123" s="927"/>
      <c r="Z123" s="927"/>
      <c r="AA123" s="927"/>
      <c r="AB123" s="927"/>
      <c r="AC123" s="927"/>
      <c r="AD123" s="927"/>
      <c r="AE123" s="927"/>
      <c r="AF123" s="928"/>
      <c r="AG123" s="928"/>
      <c r="AH123" s="926"/>
      <c r="AI123" s="926"/>
      <c r="AJ123" s="926"/>
      <c r="AK123" s="929"/>
      <c r="AL123" s="929"/>
      <c r="AM123" s="929"/>
      <c r="AN123" s="929"/>
      <c r="AO123" s="929"/>
      <c r="AP123" s="930"/>
      <c r="AQ123" s="930"/>
      <c r="AR123" s="930"/>
      <c r="AS123" s="930"/>
      <c r="AT123" s="930"/>
      <c r="AU123" s="930"/>
      <c r="AV123" s="930"/>
      <c r="AW123" s="929"/>
      <c r="AX123" s="931"/>
      <c r="AY123" s="932">
        <v>21.19</v>
      </c>
    </row>
    <row r="124" spans="2:51" s="160" customFormat="1" ht="15" customHeight="1" x14ac:dyDescent="0.3">
      <c r="B124" s="890">
        <v>45986</v>
      </c>
      <c r="C124" s="891">
        <v>0</v>
      </c>
      <c r="D124" s="892" t="s">
        <v>1072</v>
      </c>
      <c r="E124" s="887" t="s">
        <v>1204</v>
      </c>
      <c r="F124" s="894">
        <v>4.25</v>
      </c>
      <c r="G124" s="897">
        <v>4.25</v>
      </c>
      <c r="H124" s="895"/>
      <c r="I124" s="898">
        <f t="shared" si="1"/>
        <v>15341.47999999999</v>
      </c>
      <c r="J124" s="423"/>
      <c r="K124" s="896">
        <f t="shared" si="0"/>
        <v>4.25</v>
      </c>
      <c r="L124" s="926">
        <v>0</v>
      </c>
      <c r="M124" s="902"/>
      <c r="N124" s="927"/>
      <c r="O124" s="926"/>
      <c r="P124" s="926"/>
      <c r="Q124" s="926"/>
      <c r="R124" s="926"/>
      <c r="S124" s="926"/>
      <c r="T124" s="926">
        <v>4.25</v>
      </c>
      <c r="U124" s="926"/>
      <c r="V124" s="926"/>
      <c r="W124" s="926"/>
      <c r="X124" s="926"/>
      <c r="Y124" s="927"/>
      <c r="Z124" s="927"/>
      <c r="AA124" s="927"/>
      <c r="AB124" s="927"/>
      <c r="AC124" s="927"/>
      <c r="AD124" s="927"/>
      <c r="AE124" s="927"/>
      <c r="AF124" s="928"/>
      <c r="AG124" s="928"/>
      <c r="AH124" s="926"/>
      <c r="AI124" s="926"/>
      <c r="AJ124" s="926"/>
      <c r="AK124" s="929"/>
      <c r="AL124" s="929"/>
      <c r="AM124" s="929"/>
      <c r="AN124" s="929"/>
      <c r="AO124" s="929"/>
      <c r="AP124" s="930"/>
      <c r="AQ124" s="930"/>
      <c r="AR124" s="930"/>
      <c r="AS124" s="930"/>
      <c r="AT124" s="930"/>
      <c r="AU124" s="930"/>
      <c r="AV124" s="930"/>
      <c r="AW124" s="929"/>
      <c r="AX124" s="931"/>
      <c r="AY124" s="932"/>
    </row>
    <row r="125" spans="2:51" s="160" customFormat="1" ht="15" customHeight="1" x14ac:dyDescent="0.3">
      <c r="B125" s="890">
        <v>45995</v>
      </c>
      <c r="C125" s="891">
        <v>0</v>
      </c>
      <c r="D125" s="892" t="s">
        <v>1208</v>
      </c>
      <c r="E125" s="887" t="s">
        <v>1209</v>
      </c>
      <c r="F125" s="894">
        <v>1489.75</v>
      </c>
      <c r="G125" s="895"/>
      <c r="H125" s="895"/>
      <c r="I125" s="898">
        <f t="shared" si="1"/>
        <v>15341.47999999999</v>
      </c>
      <c r="J125" s="423"/>
      <c r="K125" s="896">
        <f t="shared" si="0"/>
        <v>1489.75</v>
      </c>
      <c r="L125" s="926">
        <v>0</v>
      </c>
      <c r="M125" s="902"/>
      <c r="N125" s="927"/>
      <c r="O125" s="926">
        <v>1267.75</v>
      </c>
      <c r="P125" s="926"/>
      <c r="Q125" s="926"/>
      <c r="R125" s="926"/>
      <c r="S125" s="926"/>
      <c r="T125" s="926"/>
      <c r="U125" s="926"/>
      <c r="V125" s="926"/>
      <c r="W125" s="926"/>
      <c r="X125" s="926"/>
      <c r="Y125" s="927"/>
      <c r="Z125" s="927"/>
      <c r="AA125" s="927"/>
      <c r="AB125" s="927"/>
      <c r="AC125" s="927"/>
      <c r="AD125" s="927"/>
      <c r="AE125" s="927"/>
      <c r="AF125" s="928"/>
      <c r="AG125" s="928"/>
      <c r="AH125" s="926"/>
      <c r="AI125" s="926"/>
      <c r="AJ125" s="926"/>
      <c r="AK125" s="929"/>
      <c r="AL125" s="929"/>
      <c r="AM125" s="929"/>
      <c r="AN125" s="929">
        <v>222</v>
      </c>
      <c r="AO125" s="929"/>
      <c r="AP125" s="930"/>
      <c r="AQ125" s="930"/>
      <c r="AR125" s="930"/>
      <c r="AS125" s="930"/>
      <c r="AT125" s="930"/>
      <c r="AU125" s="930"/>
      <c r="AV125" s="930"/>
      <c r="AW125" s="929"/>
      <c r="AX125" s="931"/>
      <c r="AY125" s="932"/>
    </row>
    <row r="126" spans="2:51" s="160" customFormat="1" ht="15" customHeight="1" x14ac:dyDescent="0.3">
      <c r="B126" s="890">
        <v>45995</v>
      </c>
      <c r="C126" s="891">
        <v>724594615</v>
      </c>
      <c r="D126" s="892" t="s">
        <v>1210</v>
      </c>
      <c r="E126" s="887" t="s">
        <v>1209</v>
      </c>
      <c r="F126" s="894">
        <v>46.52</v>
      </c>
      <c r="G126" s="895"/>
      <c r="H126" s="895"/>
      <c r="I126" s="898">
        <f t="shared" si="1"/>
        <v>15341.47999999999</v>
      </c>
      <c r="J126" s="423"/>
      <c r="K126" s="896">
        <f t="shared" si="0"/>
        <v>46.52</v>
      </c>
      <c r="L126" s="926">
        <v>1.92</v>
      </c>
      <c r="M126" s="902"/>
      <c r="N126" s="927"/>
      <c r="O126" s="926"/>
      <c r="P126" s="926"/>
      <c r="Q126" s="926"/>
      <c r="R126" s="926">
        <v>44.6</v>
      </c>
      <c r="S126" s="926"/>
      <c r="T126" s="926"/>
      <c r="U126" s="926"/>
      <c r="V126" s="926"/>
      <c r="W126" s="926"/>
      <c r="X126" s="926"/>
      <c r="Y126" s="927"/>
      <c r="Z126" s="927"/>
      <c r="AA126" s="927"/>
      <c r="AB126" s="927"/>
      <c r="AC126" s="927"/>
      <c r="AD126" s="927"/>
      <c r="AE126" s="927"/>
      <c r="AF126" s="928"/>
      <c r="AG126" s="928"/>
      <c r="AH126" s="926"/>
      <c r="AI126" s="926"/>
      <c r="AJ126" s="926"/>
      <c r="AK126" s="929"/>
      <c r="AL126" s="929"/>
      <c r="AM126" s="929"/>
      <c r="AN126" s="929"/>
      <c r="AO126" s="929"/>
      <c r="AP126" s="930"/>
      <c r="AQ126" s="930"/>
      <c r="AR126" s="930"/>
      <c r="AS126" s="930"/>
      <c r="AT126" s="930"/>
      <c r="AU126" s="930"/>
      <c r="AV126" s="930"/>
      <c r="AW126" s="929"/>
      <c r="AX126" s="931"/>
      <c r="AY126" s="932"/>
    </row>
    <row r="127" spans="2:51" s="160" customFormat="1" ht="15" customHeight="1" x14ac:dyDescent="0.3">
      <c r="B127" s="890">
        <v>45995</v>
      </c>
      <c r="C127" s="891">
        <v>220430231</v>
      </c>
      <c r="D127" s="892" t="s">
        <v>1212</v>
      </c>
      <c r="E127" s="887" t="s">
        <v>1209</v>
      </c>
      <c r="F127" s="894">
        <v>27</v>
      </c>
      <c r="G127" s="897">
        <f>SUM(F125:F127)</f>
        <v>1563.27</v>
      </c>
      <c r="H127" s="895"/>
      <c r="I127" s="898">
        <f t="shared" si="1"/>
        <v>13778.20999999999</v>
      </c>
      <c r="J127" s="423"/>
      <c r="K127" s="896">
        <f t="shared" si="0"/>
        <v>27</v>
      </c>
      <c r="L127" s="926">
        <v>4.5</v>
      </c>
      <c r="M127" s="902"/>
      <c r="N127" s="927"/>
      <c r="O127" s="926"/>
      <c r="P127" s="926"/>
      <c r="Q127" s="926"/>
      <c r="R127" s="926">
        <v>22.5</v>
      </c>
      <c r="S127" s="926"/>
      <c r="T127" s="926"/>
      <c r="U127" s="926"/>
      <c r="V127" s="926"/>
      <c r="W127" s="926"/>
      <c r="X127" s="926"/>
      <c r="Y127" s="927"/>
      <c r="Z127" s="927"/>
      <c r="AA127" s="927"/>
      <c r="AB127" s="927"/>
      <c r="AC127" s="927"/>
      <c r="AD127" s="927"/>
      <c r="AE127" s="927"/>
      <c r="AF127" s="928"/>
      <c r="AG127" s="928"/>
      <c r="AH127" s="926"/>
      <c r="AI127" s="926"/>
      <c r="AJ127" s="926"/>
      <c r="AK127" s="929"/>
      <c r="AL127" s="929"/>
      <c r="AM127" s="929"/>
      <c r="AN127" s="929"/>
      <c r="AO127" s="929"/>
      <c r="AP127" s="930"/>
      <c r="AQ127" s="930"/>
      <c r="AR127" s="930"/>
      <c r="AS127" s="930"/>
      <c r="AT127" s="930"/>
      <c r="AU127" s="930"/>
      <c r="AV127" s="930"/>
      <c r="AW127" s="929"/>
      <c r="AX127" s="931"/>
      <c r="AY127" s="932"/>
    </row>
    <row r="128" spans="2:51" s="160" customFormat="1" ht="15" customHeight="1" x14ac:dyDescent="0.3">
      <c r="B128" s="890">
        <v>45995</v>
      </c>
      <c r="C128" s="891">
        <v>0</v>
      </c>
      <c r="D128" s="892" t="s">
        <v>1213</v>
      </c>
      <c r="E128" s="887" t="s">
        <v>1211</v>
      </c>
      <c r="F128" s="894">
        <v>153.87</v>
      </c>
      <c r="G128" s="897">
        <v>153.87</v>
      </c>
      <c r="H128" s="895"/>
      <c r="I128" s="898">
        <f t="shared" si="1"/>
        <v>13624.339999999989</v>
      </c>
      <c r="J128" s="423"/>
      <c r="K128" s="896">
        <f t="shared" si="0"/>
        <v>153.87</v>
      </c>
      <c r="L128" s="926">
        <v>0</v>
      </c>
      <c r="M128" s="902"/>
      <c r="N128" s="927"/>
      <c r="O128" s="926"/>
      <c r="P128" s="926"/>
      <c r="Q128" s="926"/>
      <c r="R128" s="926"/>
      <c r="S128" s="926"/>
      <c r="T128" s="926"/>
      <c r="U128" s="926"/>
      <c r="V128" s="926"/>
      <c r="W128" s="926"/>
      <c r="X128" s="926"/>
      <c r="Y128" s="927"/>
      <c r="Z128" s="927"/>
      <c r="AA128" s="927"/>
      <c r="AB128" s="927"/>
      <c r="AC128" s="927"/>
      <c r="AD128" s="927"/>
      <c r="AE128" s="927"/>
      <c r="AF128" s="928"/>
      <c r="AG128" s="928"/>
      <c r="AH128" s="926"/>
      <c r="AI128" s="926"/>
      <c r="AJ128" s="926"/>
      <c r="AK128" s="929"/>
      <c r="AL128" s="929"/>
      <c r="AM128" s="929"/>
      <c r="AN128" s="929"/>
      <c r="AO128" s="929">
        <v>153.87</v>
      </c>
      <c r="AP128" s="930"/>
      <c r="AQ128" s="930"/>
      <c r="AR128" s="930"/>
      <c r="AS128" s="930"/>
      <c r="AT128" s="930"/>
      <c r="AU128" s="930"/>
      <c r="AV128" s="930"/>
      <c r="AW128" s="929"/>
      <c r="AX128" s="931"/>
      <c r="AY128" s="932"/>
    </row>
    <row r="129" spans="2:51" s="160" customFormat="1" ht="15" customHeight="1" x14ac:dyDescent="0.3">
      <c r="B129" s="890">
        <v>45995</v>
      </c>
      <c r="C129" s="891">
        <v>0</v>
      </c>
      <c r="D129" s="892" t="s">
        <v>1214</v>
      </c>
      <c r="E129" s="887" t="s">
        <v>1215</v>
      </c>
      <c r="F129" s="894">
        <v>425.49</v>
      </c>
      <c r="G129" s="897">
        <v>425.49</v>
      </c>
      <c r="H129" s="895"/>
      <c r="I129" s="898">
        <f t="shared" si="1"/>
        <v>13198.849999999989</v>
      </c>
      <c r="J129" s="423"/>
      <c r="K129" s="896">
        <f t="shared" si="0"/>
        <v>425.49</v>
      </c>
      <c r="L129" s="926">
        <v>0</v>
      </c>
      <c r="M129" s="902"/>
      <c r="N129" s="927"/>
      <c r="O129" s="926">
        <v>183.24</v>
      </c>
      <c r="P129" s="926"/>
      <c r="Q129" s="926">
        <v>203.85</v>
      </c>
      <c r="R129" s="926"/>
      <c r="S129" s="926"/>
      <c r="T129" s="926"/>
      <c r="U129" s="926"/>
      <c r="V129" s="926"/>
      <c r="W129" s="926"/>
      <c r="X129" s="926"/>
      <c r="Y129" s="927"/>
      <c r="Z129" s="927"/>
      <c r="AA129" s="927"/>
      <c r="AB129" s="927"/>
      <c r="AC129" s="927"/>
      <c r="AD129" s="927"/>
      <c r="AE129" s="927"/>
      <c r="AF129" s="928"/>
      <c r="AG129" s="928"/>
      <c r="AH129" s="926"/>
      <c r="AI129" s="926"/>
      <c r="AJ129" s="926"/>
      <c r="AK129" s="929"/>
      <c r="AL129" s="929"/>
      <c r="AM129" s="929"/>
      <c r="AN129" s="929"/>
      <c r="AO129" s="929">
        <v>38.4</v>
      </c>
      <c r="AP129" s="930"/>
      <c r="AQ129" s="930"/>
      <c r="AR129" s="930"/>
      <c r="AS129" s="930"/>
      <c r="AT129" s="930"/>
      <c r="AU129" s="930"/>
      <c r="AV129" s="930"/>
      <c r="AW129" s="929"/>
      <c r="AX129" s="931"/>
      <c r="AY129" s="932"/>
    </row>
    <row r="130" spans="2:51" s="160" customFormat="1" ht="15" customHeight="1" x14ac:dyDescent="0.3">
      <c r="B130" s="890">
        <v>45995</v>
      </c>
      <c r="C130" s="891">
        <v>0</v>
      </c>
      <c r="D130" s="892" t="s">
        <v>1216</v>
      </c>
      <c r="E130" s="887" t="s">
        <v>1217</v>
      </c>
      <c r="F130" s="894">
        <v>499.06</v>
      </c>
      <c r="G130" s="897">
        <v>499.06</v>
      </c>
      <c r="H130" s="895"/>
      <c r="I130" s="898">
        <f t="shared" si="1"/>
        <v>12699.78999999999</v>
      </c>
      <c r="J130" s="423"/>
      <c r="K130" s="896">
        <f t="shared" si="0"/>
        <v>499.06</v>
      </c>
      <c r="L130" s="926">
        <v>0</v>
      </c>
      <c r="M130" s="902"/>
      <c r="N130" s="927"/>
      <c r="O130" s="926">
        <v>103.01</v>
      </c>
      <c r="P130" s="926">
        <v>396.05</v>
      </c>
      <c r="Q130" s="926"/>
      <c r="R130" s="926"/>
      <c r="S130" s="926"/>
      <c r="T130" s="926"/>
      <c r="U130" s="926"/>
      <c r="V130" s="926"/>
      <c r="W130" s="926"/>
      <c r="X130" s="926"/>
      <c r="Y130" s="927"/>
      <c r="Z130" s="927"/>
      <c r="AA130" s="927"/>
      <c r="AB130" s="927"/>
      <c r="AC130" s="927"/>
      <c r="AD130" s="927"/>
      <c r="AE130" s="927"/>
      <c r="AF130" s="928"/>
      <c r="AG130" s="928"/>
      <c r="AH130" s="926"/>
      <c r="AI130" s="926"/>
      <c r="AJ130" s="926"/>
      <c r="AK130" s="929"/>
      <c r="AL130" s="929"/>
      <c r="AM130" s="929"/>
      <c r="AN130" s="929"/>
      <c r="AO130" s="929"/>
      <c r="AP130" s="930"/>
      <c r="AQ130" s="930"/>
      <c r="AR130" s="930"/>
      <c r="AS130" s="930"/>
      <c r="AT130" s="930"/>
      <c r="AU130" s="930"/>
      <c r="AV130" s="930"/>
      <c r="AW130" s="929"/>
      <c r="AX130" s="931"/>
      <c r="AY130" s="932"/>
    </row>
    <row r="131" spans="2:51" s="160" customFormat="1" ht="15" customHeight="1" x14ac:dyDescent="0.3">
      <c r="B131" s="890">
        <v>45995</v>
      </c>
      <c r="C131" s="891">
        <v>655610439</v>
      </c>
      <c r="D131" s="892" t="s">
        <v>1218</v>
      </c>
      <c r="E131" s="887" t="s">
        <v>1219</v>
      </c>
      <c r="F131" s="894">
        <v>384</v>
      </c>
      <c r="G131" s="897">
        <v>384</v>
      </c>
      <c r="H131" s="895"/>
      <c r="I131" s="898">
        <f t="shared" si="1"/>
        <v>12315.78999999999</v>
      </c>
      <c r="J131" s="423"/>
      <c r="K131" s="896">
        <f t="shared" si="0"/>
        <v>384</v>
      </c>
      <c r="L131" s="926">
        <v>64</v>
      </c>
      <c r="M131" s="902"/>
      <c r="N131" s="927"/>
      <c r="O131" s="926"/>
      <c r="P131" s="926"/>
      <c r="Q131" s="926"/>
      <c r="R131" s="926"/>
      <c r="S131" s="926"/>
      <c r="T131" s="926"/>
      <c r="U131" s="926"/>
      <c r="V131" s="926"/>
      <c r="W131" s="926"/>
      <c r="X131" s="926"/>
      <c r="Y131" s="927"/>
      <c r="Z131" s="927"/>
      <c r="AA131" s="927"/>
      <c r="AB131" s="927"/>
      <c r="AC131" s="927"/>
      <c r="AD131" s="927"/>
      <c r="AE131" s="927"/>
      <c r="AF131" s="928"/>
      <c r="AG131" s="928"/>
      <c r="AH131" s="926"/>
      <c r="AI131" s="926"/>
      <c r="AJ131" s="926"/>
      <c r="AK131" s="929"/>
      <c r="AL131" s="929">
        <v>320</v>
      </c>
      <c r="AM131" s="929"/>
      <c r="AN131" s="929"/>
      <c r="AO131" s="929"/>
      <c r="AP131" s="930"/>
      <c r="AQ131" s="930"/>
      <c r="AR131" s="930"/>
      <c r="AS131" s="930"/>
      <c r="AT131" s="930"/>
      <c r="AU131" s="930"/>
      <c r="AV131" s="930"/>
      <c r="AW131" s="929"/>
      <c r="AX131" s="931"/>
      <c r="AY131" s="932"/>
    </row>
    <row r="132" spans="2:51" s="160" customFormat="1" ht="15" customHeight="1" x14ac:dyDescent="0.3">
      <c r="B132" s="890">
        <v>45995</v>
      </c>
      <c r="C132" s="891">
        <v>0</v>
      </c>
      <c r="D132" s="892" t="s">
        <v>1220</v>
      </c>
      <c r="E132" s="887" t="s">
        <v>1221</v>
      </c>
      <c r="F132" s="894">
        <v>1553</v>
      </c>
      <c r="G132" s="897">
        <v>1553</v>
      </c>
      <c r="H132" s="895"/>
      <c r="I132" s="898">
        <f t="shared" si="1"/>
        <v>10762.78999999999</v>
      </c>
      <c r="J132" s="423"/>
      <c r="K132" s="896">
        <f t="shared" si="0"/>
        <v>1553</v>
      </c>
      <c r="L132" s="926">
        <v>0</v>
      </c>
      <c r="M132" s="902">
        <v>1553</v>
      </c>
      <c r="N132" s="927"/>
      <c r="O132" s="926"/>
      <c r="P132" s="926"/>
      <c r="Q132" s="926"/>
      <c r="R132" s="926"/>
      <c r="S132" s="926"/>
      <c r="T132" s="926"/>
      <c r="U132" s="926"/>
      <c r="V132" s="926"/>
      <c r="W132" s="926"/>
      <c r="X132" s="926"/>
      <c r="Y132" s="927"/>
      <c r="Z132" s="927"/>
      <c r="AA132" s="927"/>
      <c r="AB132" s="927"/>
      <c r="AC132" s="927"/>
      <c r="AD132" s="927"/>
      <c r="AE132" s="927"/>
      <c r="AF132" s="928"/>
      <c r="AG132" s="928"/>
      <c r="AH132" s="926"/>
      <c r="AI132" s="926"/>
      <c r="AJ132" s="926"/>
      <c r="AK132" s="929"/>
      <c r="AL132" s="929" t="s">
        <v>55</v>
      </c>
      <c r="AM132" s="929"/>
      <c r="AN132" s="929"/>
      <c r="AO132" s="929"/>
      <c r="AP132" s="930"/>
      <c r="AQ132" s="930"/>
      <c r="AR132" s="930"/>
      <c r="AS132" s="930"/>
      <c r="AT132" s="930"/>
      <c r="AU132" s="930"/>
      <c r="AV132" s="930"/>
      <c r="AW132" s="929"/>
      <c r="AX132" s="931"/>
      <c r="AY132" s="932"/>
    </row>
    <row r="133" spans="2:51" s="160" customFormat="1" ht="15" customHeight="1" x14ac:dyDescent="0.3">
      <c r="B133" s="890">
        <v>45995</v>
      </c>
      <c r="C133" s="891">
        <v>0</v>
      </c>
      <c r="D133" s="892" t="s">
        <v>1222</v>
      </c>
      <c r="E133" s="887" t="s">
        <v>1223</v>
      </c>
      <c r="F133" s="894">
        <v>15</v>
      </c>
      <c r="G133" s="897">
        <v>15</v>
      </c>
      <c r="H133" s="895"/>
      <c r="I133" s="898">
        <f t="shared" si="1"/>
        <v>10747.78999999999</v>
      </c>
      <c r="J133" s="423"/>
      <c r="K133" s="896">
        <f t="shared" si="0"/>
        <v>15</v>
      </c>
      <c r="L133" s="926">
        <v>0</v>
      </c>
      <c r="M133" s="902"/>
      <c r="N133" s="927"/>
      <c r="O133" s="926"/>
      <c r="P133" s="926"/>
      <c r="Q133" s="926"/>
      <c r="R133" s="926"/>
      <c r="S133" s="926"/>
      <c r="T133" s="926"/>
      <c r="U133" s="926"/>
      <c r="V133" s="926"/>
      <c r="W133" s="926"/>
      <c r="X133" s="926"/>
      <c r="Y133" s="927">
        <v>15</v>
      </c>
      <c r="Z133" s="927"/>
      <c r="AA133" s="927"/>
      <c r="AB133" s="927"/>
      <c r="AC133" s="927"/>
      <c r="AD133" s="927"/>
      <c r="AE133" s="927"/>
      <c r="AF133" s="928"/>
      <c r="AG133" s="928"/>
      <c r="AH133" s="926"/>
      <c r="AI133" s="926"/>
      <c r="AJ133" s="926"/>
      <c r="AK133" s="929"/>
      <c r="AL133" s="929"/>
      <c r="AM133" s="929"/>
      <c r="AN133" s="929"/>
      <c r="AO133" s="929"/>
      <c r="AP133" s="930"/>
      <c r="AQ133" s="930"/>
      <c r="AR133" s="930"/>
      <c r="AS133" s="930"/>
      <c r="AT133" s="930"/>
      <c r="AU133" s="930"/>
      <c r="AV133" s="930"/>
      <c r="AW133" s="929"/>
      <c r="AX133" s="931"/>
      <c r="AY133" s="932"/>
    </row>
    <row r="134" spans="2:51" s="160" customFormat="1" ht="15" customHeight="1" x14ac:dyDescent="0.3">
      <c r="B134" s="890">
        <v>45995</v>
      </c>
      <c r="C134" s="891">
        <v>131505120</v>
      </c>
      <c r="D134" s="892" t="s">
        <v>1224</v>
      </c>
      <c r="E134" s="887" t="s">
        <v>1225</v>
      </c>
      <c r="F134" s="894">
        <v>161.35</v>
      </c>
      <c r="G134" s="897">
        <v>161.35</v>
      </c>
      <c r="H134" s="895"/>
      <c r="I134" s="898">
        <f t="shared" si="1"/>
        <v>10586.43999999999</v>
      </c>
      <c r="J134" s="423"/>
      <c r="K134" s="896">
        <f t="shared" si="0"/>
        <v>161.35000000000002</v>
      </c>
      <c r="L134" s="926">
        <v>26.89</v>
      </c>
      <c r="M134" s="902"/>
      <c r="N134" s="927"/>
      <c r="O134" s="926"/>
      <c r="P134" s="926"/>
      <c r="Q134" s="926"/>
      <c r="R134" s="926"/>
      <c r="S134" s="926"/>
      <c r="T134" s="926"/>
      <c r="U134" s="926"/>
      <c r="V134" s="926"/>
      <c r="W134" s="926"/>
      <c r="X134" s="926"/>
      <c r="Y134" s="927"/>
      <c r="Z134" s="927"/>
      <c r="AA134" s="927"/>
      <c r="AB134" s="927"/>
      <c r="AC134" s="927"/>
      <c r="AD134" s="927"/>
      <c r="AE134" s="927"/>
      <c r="AF134" s="928"/>
      <c r="AG134" s="928"/>
      <c r="AH134" s="926"/>
      <c r="AI134" s="926"/>
      <c r="AJ134" s="926"/>
      <c r="AK134" s="929"/>
      <c r="AL134" s="929"/>
      <c r="AM134" s="929"/>
      <c r="AN134" s="929"/>
      <c r="AO134" s="929"/>
      <c r="AP134" s="930"/>
      <c r="AQ134" s="930"/>
      <c r="AR134" s="930"/>
      <c r="AS134" s="930"/>
      <c r="AT134" s="930"/>
      <c r="AU134" s="930"/>
      <c r="AV134" s="930"/>
      <c r="AW134" s="929">
        <v>134.46</v>
      </c>
      <c r="AX134" s="931"/>
      <c r="AY134" s="932"/>
    </row>
    <row r="135" spans="2:51" s="160" customFormat="1" ht="15" customHeight="1" x14ac:dyDescent="0.3">
      <c r="B135" s="890">
        <v>45995</v>
      </c>
      <c r="C135" s="891">
        <v>0</v>
      </c>
      <c r="D135" s="892" t="s">
        <v>1226</v>
      </c>
      <c r="E135" s="887" t="s">
        <v>1227</v>
      </c>
      <c r="F135" s="894">
        <v>3000</v>
      </c>
      <c r="G135" s="897">
        <v>3000</v>
      </c>
      <c r="H135" s="895"/>
      <c r="I135" s="898">
        <f t="shared" si="1"/>
        <v>7586.4399999999896</v>
      </c>
      <c r="J135" s="423"/>
      <c r="K135" s="896">
        <f t="shared" si="0"/>
        <v>3000</v>
      </c>
      <c r="L135" s="926">
        <v>0</v>
      </c>
      <c r="M135" s="902"/>
      <c r="N135" s="927"/>
      <c r="O135" s="926"/>
      <c r="P135" s="926"/>
      <c r="Q135" s="926"/>
      <c r="R135" s="926"/>
      <c r="S135" s="926"/>
      <c r="T135" s="926"/>
      <c r="U135" s="926"/>
      <c r="V135" s="926"/>
      <c r="W135" s="926"/>
      <c r="X135" s="926"/>
      <c r="Y135" s="927"/>
      <c r="Z135" s="927"/>
      <c r="AA135" s="927"/>
      <c r="AB135" s="927"/>
      <c r="AC135" s="927">
        <v>3000</v>
      </c>
      <c r="AD135" s="927"/>
      <c r="AE135" s="927"/>
      <c r="AF135" s="928"/>
      <c r="AG135" s="928"/>
      <c r="AH135" s="926"/>
      <c r="AI135" s="926"/>
      <c r="AJ135" s="926"/>
      <c r="AK135" s="929"/>
      <c r="AL135" s="929"/>
      <c r="AM135" s="929"/>
      <c r="AN135" s="929"/>
      <c r="AO135" s="929"/>
      <c r="AP135" s="930"/>
      <c r="AQ135" s="930"/>
      <c r="AR135" s="930"/>
      <c r="AS135" s="930"/>
      <c r="AT135" s="930"/>
      <c r="AU135" s="930"/>
      <c r="AV135" s="930"/>
      <c r="AW135" s="929"/>
      <c r="AX135" s="931"/>
      <c r="AY135" s="932"/>
    </row>
    <row r="136" spans="2:51" s="160" customFormat="1" ht="15" customHeight="1" x14ac:dyDescent="0.3">
      <c r="B136" s="890">
        <v>45995</v>
      </c>
      <c r="C136" s="891">
        <v>996789614</v>
      </c>
      <c r="D136" s="892" t="s">
        <v>1230</v>
      </c>
      <c r="E136" s="887" t="s">
        <v>1231</v>
      </c>
      <c r="F136" s="894">
        <v>420</v>
      </c>
      <c r="G136" s="897">
        <v>420</v>
      </c>
      <c r="H136" s="895"/>
      <c r="I136" s="898">
        <f t="shared" si="1"/>
        <v>7166.4399999999896</v>
      </c>
      <c r="J136" s="423"/>
      <c r="K136" s="896">
        <f t="shared" si="0"/>
        <v>420</v>
      </c>
      <c r="L136" s="926">
        <v>70</v>
      </c>
      <c r="M136" s="902"/>
      <c r="N136" s="927"/>
      <c r="O136" s="926"/>
      <c r="P136" s="926"/>
      <c r="Q136" s="926"/>
      <c r="R136" s="926"/>
      <c r="S136" s="926"/>
      <c r="T136" s="926"/>
      <c r="U136" s="926"/>
      <c r="V136" s="926"/>
      <c r="W136" s="926"/>
      <c r="X136" s="926"/>
      <c r="Y136" s="927"/>
      <c r="Z136" s="927"/>
      <c r="AA136" s="927"/>
      <c r="AB136" s="927"/>
      <c r="AC136" s="927"/>
      <c r="AD136" s="927"/>
      <c r="AE136" s="927">
        <v>350</v>
      </c>
      <c r="AF136" s="928"/>
      <c r="AG136" s="928"/>
      <c r="AH136" s="926"/>
      <c r="AI136" s="926"/>
      <c r="AJ136" s="926"/>
      <c r="AK136" s="929"/>
      <c r="AL136" s="929"/>
      <c r="AM136" s="929"/>
      <c r="AN136" s="929"/>
      <c r="AO136" s="929"/>
      <c r="AP136" s="930"/>
      <c r="AQ136" s="930"/>
      <c r="AR136" s="930"/>
      <c r="AS136" s="930"/>
      <c r="AT136" s="930"/>
      <c r="AU136" s="930"/>
      <c r="AV136" s="930"/>
      <c r="AW136" s="929"/>
      <c r="AX136" s="931"/>
      <c r="AY136" s="932"/>
    </row>
    <row r="137" spans="2:51" s="160" customFormat="1" ht="15" customHeight="1" x14ac:dyDescent="0.3">
      <c r="B137" s="890">
        <v>46007</v>
      </c>
      <c r="C137" s="891">
        <v>245719348</v>
      </c>
      <c r="D137" s="892" t="s">
        <v>1233</v>
      </c>
      <c r="E137" s="887" t="s">
        <v>1234</v>
      </c>
      <c r="F137" s="894">
        <v>25.43</v>
      </c>
      <c r="G137" s="897">
        <v>25.43</v>
      </c>
      <c r="H137" s="895"/>
      <c r="I137" s="898">
        <f t="shared" si="1"/>
        <v>7141.0099999999893</v>
      </c>
      <c r="J137" s="423"/>
      <c r="K137" s="896">
        <f t="shared" si="0"/>
        <v>25.43</v>
      </c>
      <c r="L137" s="926">
        <v>4.24</v>
      </c>
      <c r="M137" s="902"/>
      <c r="N137" s="927"/>
      <c r="O137" s="926"/>
      <c r="P137" s="926"/>
      <c r="Q137" s="926"/>
      <c r="R137" s="926"/>
      <c r="S137" s="926"/>
      <c r="T137" s="926"/>
      <c r="U137" s="926"/>
      <c r="V137" s="926"/>
      <c r="W137" s="926"/>
      <c r="X137" s="926"/>
      <c r="Y137" s="927"/>
      <c r="Z137" s="927"/>
      <c r="AA137" s="927"/>
      <c r="AB137" s="927"/>
      <c r="AC137" s="927"/>
      <c r="AD137" s="927"/>
      <c r="AE137" s="927"/>
      <c r="AF137" s="928"/>
      <c r="AG137" s="928"/>
      <c r="AH137" s="926"/>
      <c r="AI137" s="926"/>
      <c r="AJ137" s="926"/>
      <c r="AK137" s="929"/>
      <c r="AL137" s="929"/>
      <c r="AM137" s="929"/>
      <c r="AN137" s="929"/>
      <c r="AO137" s="929"/>
      <c r="AP137" s="930"/>
      <c r="AQ137" s="930"/>
      <c r="AR137" s="930"/>
      <c r="AS137" s="930"/>
      <c r="AT137" s="930"/>
      <c r="AU137" s="930"/>
      <c r="AV137" s="930"/>
      <c r="AW137" s="929"/>
      <c r="AX137" s="931"/>
      <c r="AY137" s="932">
        <v>21.19</v>
      </c>
    </row>
    <row r="138" spans="2:51" s="160" customFormat="1" ht="15" customHeight="1" x14ac:dyDescent="0.3">
      <c r="B138" s="890">
        <v>46020</v>
      </c>
      <c r="C138" s="891">
        <v>0</v>
      </c>
      <c r="D138" s="892" t="s">
        <v>1072</v>
      </c>
      <c r="E138" s="887" t="s">
        <v>1235</v>
      </c>
      <c r="F138" s="894">
        <v>4.25</v>
      </c>
      <c r="G138" s="897">
        <v>4.25</v>
      </c>
      <c r="H138" s="895"/>
      <c r="I138" s="898">
        <f t="shared" si="1"/>
        <v>7136.7599999999893</v>
      </c>
      <c r="J138" s="423"/>
      <c r="K138" s="896">
        <f t="shared" si="0"/>
        <v>4.25</v>
      </c>
      <c r="L138" s="926">
        <v>0</v>
      </c>
      <c r="M138" s="902"/>
      <c r="N138" s="927"/>
      <c r="O138" s="926"/>
      <c r="P138" s="926"/>
      <c r="Q138" s="926"/>
      <c r="R138" s="926"/>
      <c r="S138" s="926"/>
      <c r="T138" s="926">
        <v>4.25</v>
      </c>
      <c r="U138" s="926"/>
      <c r="V138" s="926"/>
      <c r="W138" s="926"/>
      <c r="X138" s="926"/>
      <c r="Y138" s="927"/>
      <c r="Z138" s="927"/>
      <c r="AA138" s="927"/>
      <c r="AB138" s="927"/>
      <c r="AC138" s="927"/>
      <c r="AD138" s="927"/>
      <c r="AE138" s="927"/>
      <c r="AF138" s="928"/>
      <c r="AG138" s="928"/>
      <c r="AH138" s="926"/>
      <c r="AI138" s="926"/>
      <c r="AJ138" s="926"/>
      <c r="AK138" s="929"/>
      <c r="AL138" s="929"/>
      <c r="AM138" s="929"/>
      <c r="AN138" s="929"/>
      <c r="AO138" s="929"/>
      <c r="AP138" s="930"/>
      <c r="AQ138" s="930"/>
      <c r="AR138" s="930"/>
      <c r="AS138" s="930"/>
      <c r="AT138" s="930"/>
      <c r="AU138" s="930"/>
      <c r="AV138" s="930"/>
      <c r="AW138" s="929"/>
      <c r="AX138" s="931"/>
      <c r="AY138" s="932"/>
    </row>
    <row r="139" spans="2:51" s="160" customFormat="1" ht="15" customHeight="1" x14ac:dyDescent="0.3">
      <c r="B139" s="890">
        <v>46020</v>
      </c>
      <c r="C139" s="891">
        <v>0</v>
      </c>
      <c r="D139" s="892" t="s">
        <v>1072</v>
      </c>
      <c r="E139" s="887" t="s">
        <v>1236</v>
      </c>
      <c r="F139" s="894">
        <v>4.25</v>
      </c>
      <c r="G139" s="897">
        <v>4.25</v>
      </c>
      <c r="H139" s="895"/>
      <c r="I139" s="898">
        <f t="shared" si="1"/>
        <v>7132.5099999999893</v>
      </c>
      <c r="J139" s="423"/>
      <c r="K139" s="896">
        <f t="shared" si="0"/>
        <v>4.25</v>
      </c>
      <c r="L139" s="926">
        <v>0</v>
      </c>
      <c r="M139" s="902"/>
      <c r="N139" s="927"/>
      <c r="O139" s="926"/>
      <c r="P139" s="926"/>
      <c r="Q139" s="926"/>
      <c r="R139" s="926"/>
      <c r="S139" s="926"/>
      <c r="T139" s="926">
        <v>4.25</v>
      </c>
      <c r="U139" s="926"/>
      <c r="V139" s="926"/>
      <c r="W139" s="926"/>
      <c r="X139" s="926"/>
      <c r="Y139" s="927"/>
      <c r="Z139" s="927"/>
      <c r="AA139" s="927"/>
      <c r="AB139" s="927"/>
      <c r="AC139" s="927"/>
      <c r="AD139" s="927"/>
      <c r="AE139" s="927"/>
      <c r="AF139" s="928"/>
      <c r="AG139" s="928"/>
      <c r="AH139" s="926"/>
      <c r="AI139" s="926"/>
      <c r="AJ139" s="926"/>
      <c r="AK139" s="929"/>
      <c r="AL139" s="929"/>
      <c r="AM139" s="929"/>
      <c r="AN139" s="929"/>
      <c r="AO139" s="929"/>
      <c r="AP139" s="930"/>
      <c r="AQ139" s="930"/>
      <c r="AR139" s="930"/>
      <c r="AS139" s="930"/>
      <c r="AT139" s="930"/>
      <c r="AU139" s="930"/>
      <c r="AV139" s="930"/>
      <c r="AW139" s="929"/>
      <c r="AX139" s="931"/>
      <c r="AY139" s="932"/>
    </row>
    <row r="140" spans="2:51" s="160" customFormat="1" ht="15" customHeight="1" x14ac:dyDescent="0.3">
      <c r="B140" s="890">
        <v>46037</v>
      </c>
      <c r="C140" s="891">
        <v>0</v>
      </c>
      <c r="D140" s="892" t="s">
        <v>1238</v>
      </c>
      <c r="E140" s="887" t="s">
        <v>1239</v>
      </c>
      <c r="F140" s="894">
        <v>1489.75</v>
      </c>
      <c r="G140" s="895"/>
      <c r="H140" s="895"/>
      <c r="I140" s="898">
        <f t="shared" si="1"/>
        <v>7132.5099999999893</v>
      </c>
      <c r="J140" s="423"/>
      <c r="K140" s="896">
        <f t="shared" si="0"/>
        <v>1489.75</v>
      </c>
      <c r="L140" s="926">
        <v>0</v>
      </c>
      <c r="M140" s="902"/>
      <c r="N140" s="927"/>
      <c r="O140" s="926">
        <v>1267.75</v>
      </c>
      <c r="P140" s="926"/>
      <c r="Q140" s="926"/>
      <c r="R140" s="926"/>
      <c r="S140" s="926"/>
      <c r="T140" s="926"/>
      <c r="U140" s="926"/>
      <c r="V140" s="926"/>
      <c r="W140" s="926"/>
      <c r="X140" s="926"/>
      <c r="Y140" s="927"/>
      <c r="Z140" s="927"/>
      <c r="AA140" s="927"/>
      <c r="AB140" s="927"/>
      <c r="AC140" s="927"/>
      <c r="AD140" s="927"/>
      <c r="AE140" s="927"/>
      <c r="AF140" s="928"/>
      <c r="AG140" s="928"/>
      <c r="AH140" s="926"/>
      <c r="AI140" s="926"/>
      <c r="AJ140" s="926"/>
      <c r="AK140" s="929"/>
      <c r="AL140" s="929"/>
      <c r="AM140" s="929"/>
      <c r="AN140" s="929">
        <v>222</v>
      </c>
      <c r="AO140" s="929"/>
      <c r="AP140" s="930"/>
      <c r="AQ140" s="930"/>
      <c r="AR140" s="930"/>
      <c r="AS140" s="930"/>
      <c r="AT140" s="930"/>
      <c r="AU140" s="930"/>
      <c r="AV140" s="930"/>
      <c r="AW140" s="929"/>
      <c r="AX140" s="931"/>
      <c r="AY140" s="932"/>
    </row>
    <row r="141" spans="2:51" s="160" customFormat="1" ht="15" customHeight="1" x14ac:dyDescent="0.3">
      <c r="B141" s="890">
        <v>46037</v>
      </c>
      <c r="C141" s="891">
        <v>724594615</v>
      </c>
      <c r="D141" s="892" t="s">
        <v>1240</v>
      </c>
      <c r="E141" s="887" t="s">
        <v>1239</v>
      </c>
      <c r="F141" s="894">
        <v>46.52</v>
      </c>
      <c r="G141" s="897">
        <f>SUM(F140:F141)</f>
        <v>1536.27</v>
      </c>
      <c r="H141" s="895"/>
      <c r="I141" s="898">
        <f t="shared" si="1"/>
        <v>5596.2399999999889</v>
      </c>
      <c r="J141" s="423"/>
      <c r="K141" s="896">
        <f t="shared" si="0"/>
        <v>46.52</v>
      </c>
      <c r="L141" s="926">
        <v>1.92</v>
      </c>
      <c r="M141" s="902"/>
      <c r="N141" s="927"/>
      <c r="O141" s="926"/>
      <c r="P141" s="926"/>
      <c r="Q141" s="926"/>
      <c r="R141" s="926">
        <v>44.6</v>
      </c>
      <c r="S141" s="926"/>
      <c r="T141" s="926"/>
      <c r="U141" s="926"/>
      <c r="V141" s="926"/>
      <c r="W141" s="926"/>
      <c r="X141" s="926"/>
      <c r="Y141" s="927"/>
      <c r="Z141" s="927"/>
      <c r="AA141" s="927"/>
      <c r="AB141" s="927"/>
      <c r="AC141" s="927"/>
      <c r="AD141" s="927"/>
      <c r="AE141" s="927"/>
      <c r="AF141" s="928"/>
      <c r="AG141" s="928"/>
      <c r="AH141" s="926"/>
      <c r="AI141" s="926"/>
      <c r="AJ141" s="926"/>
      <c r="AK141" s="929"/>
      <c r="AL141" s="929"/>
      <c r="AM141" s="929"/>
      <c r="AN141" s="929"/>
      <c r="AO141" s="929"/>
      <c r="AP141" s="930"/>
      <c r="AQ141" s="930"/>
      <c r="AR141" s="930"/>
      <c r="AS141" s="930"/>
      <c r="AT141" s="930"/>
      <c r="AU141" s="930"/>
      <c r="AV141" s="930"/>
      <c r="AW141" s="929"/>
      <c r="AX141" s="931"/>
      <c r="AY141" s="932"/>
    </row>
    <row r="142" spans="2:51" s="160" customFormat="1" ht="15" customHeight="1" x14ac:dyDescent="0.3">
      <c r="B142" s="890">
        <v>46037</v>
      </c>
      <c r="C142" s="891">
        <v>0</v>
      </c>
      <c r="D142" s="892" t="s">
        <v>1241</v>
      </c>
      <c r="E142" s="887" t="s">
        <v>1242</v>
      </c>
      <c r="F142" s="894">
        <v>153.66999999999999</v>
      </c>
      <c r="G142" s="897">
        <v>153.66999999999999</v>
      </c>
      <c r="H142" s="895"/>
      <c r="I142" s="898">
        <f t="shared" si="1"/>
        <v>5442.5699999999888</v>
      </c>
      <c r="J142" s="423"/>
      <c r="K142" s="896">
        <f t="shared" si="0"/>
        <v>153.66999999999999</v>
      </c>
      <c r="L142" s="926">
        <v>0</v>
      </c>
      <c r="M142" s="902"/>
      <c r="N142" s="927"/>
      <c r="O142" s="926"/>
      <c r="P142" s="926"/>
      <c r="Q142" s="926"/>
      <c r="R142" s="926"/>
      <c r="S142" s="926"/>
      <c r="T142" s="926"/>
      <c r="U142" s="926"/>
      <c r="V142" s="926"/>
      <c r="W142" s="926"/>
      <c r="X142" s="926"/>
      <c r="Y142" s="927"/>
      <c r="Z142" s="927"/>
      <c r="AA142" s="927"/>
      <c r="AB142" s="927"/>
      <c r="AC142" s="927"/>
      <c r="AD142" s="927"/>
      <c r="AE142" s="927"/>
      <c r="AF142" s="928"/>
      <c r="AG142" s="928"/>
      <c r="AH142" s="926"/>
      <c r="AI142" s="926"/>
      <c r="AJ142" s="926"/>
      <c r="AK142" s="929"/>
      <c r="AL142" s="929"/>
      <c r="AM142" s="929"/>
      <c r="AN142" s="929"/>
      <c r="AO142" s="929">
        <v>153.66999999999999</v>
      </c>
      <c r="AP142" s="930"/>
      <c r="AQ142" s="930"/>
      <c r="AR142" s="930"/>
      <c r="AS142" s="930"/>
      <c r="AT142" s="930"/>
      <c r="AU142" s="930"/>
      <c r="AV142" s="930"/>
      <c r="AW142" s="929"/>
      <c r="AX142" s="931"/>
      <c r="AY142" s="932"/>
    </row>
    <row r="143" spans="2:51" s="160" customFormat="1" ht="15" customHeight="1" x14ac:dyDescent="0.3">
      <c r="B143" s="890">
        <v>46037</v>
      </c>
      <c r="C143" s="891">
        <v>0</v>
      </c>
      <c r="D143" s="892" t="s">
        <v>1243</v>
      </c>
      <c r="E143" s="887" t="s">
        <v>1244</v>
      </c>
      <c r="F143" s="894">
        <v>425.69</v>
      </c>
      <c r="G143" s="897">
        <v>425.69</v>
      </c>
      <c r="H143" s="895"/>
      <c r="I143" s="898">
        <f t="shared" si="1"/>
        <v>5016.8799999999892</v>
      </c>
      <c r="J143" s="423"/>
      <c r="K143" s="896">
        <f t="shared" si="0"/>
        <v>425.69000000000005</v>
      </c>
      <c r="L143" s="926">
        <v>0</v>
      </c>
      <c r="M143" s="902"/>
      <c r="N143" s="927"/>
      <c r="O143" s="926">
        <v>183.24</v>
      </c>
      <c r="P143" s="926"/>
      <c r="Q143" s="926">
        <v>203.85</v>
      </c>
      <c r="R143" s="926"/>
      <c r="S143" s="926"/>
      <c r="T143" s="926"/>
      <c r="U143" s="926"/>
      <c r="V143" s="926"/>
      <c r="W143" s="926"/>
      <c r="X143" s="926"/>
      <c r="Y143" s="927"/>
      <c r="Z143" s="927"/>
      <c r="AA143" s="927"/>
      <c r="AB143" s="927"/>
      <c r="AC143" s="927"/>
      <c r="AD143" s="927"/>
      <c r="AE143" s="927"/>
      <c r="AF143" s="928"/>
      <c r="AG143" s="928"/>
      <c r="AH143" s="926"/>
      <c r="AI143" s="926"/>
      <c r="AJ143" s="926"/>
      <c r="AK143" s="929"/>
      <c r="AL143" s="929"/>
      <c r="AM143" s="929"/>
      <c r="AN143" s="929"/>
      <c r="AO143" s="929">
        <v>38.6</v>
      </c>
      <c r="AP143" s="930"/>
      <c r="AQ143" s="930"/>
      <c r="AR143" s="930"/>
      <c r="AS143" s="930"/>
      <c r="AT143" s="930"/>
      <c r="AU143" s="930"/>
      <c r="AV143" s="930"/>
      <c r="AW143" s="929"/>
      <c r="AX143" s="931"/>
      <c r="AY143" s="932"/>
    </row>
    <row r="144" spans="2:51" s="160" customFormat="1" ht="15" customHeight="1" x14ac:dyDescent="0.3">
      <c r="B144" s="890">
        <v>46037</v>
      </c>
      <c r="C144" s="891">
        <v>0</v>
      </c>
      <c r="D144" s="892" t="s">
        <v>1245</v>
      </c>
      <c r="E144" s="887" t="s">
        <v>1246</v>
      </c>
      <c r="F144" s="894">
        <v>499.06</v>
      </c>
      <c r="G144" s="897">
        <v>499.06</v>
      </c>
      <c r="H144" s="895"/>
      <c r="I144" s="898">
        <f t="shared" si="1"/>
        <v>4517.8199999999888</v>
      </c>
      <c r="J144" s="423"/>
      <c r="K144" s="896">
        <f t="shared" si="0"/>
        <v>499.06</v>
      </c>
      <c r="L144" s="926">
        <v>0</v>
      </c>
      <c r="M144" s="902"/>
      <c r="N144" s="927"/>
      <c r="O144" s="926">
        <v>103.01</v>
      </c>
      <c r="P144" s="926">
        <v>396.05</v>
      </c>
      <c r="Q144" s="926"/>
      <c r="R144" s="926"/>
      <c r="S144" s="926"/>
      <c r="T144" s="926"/>
      <c r="U144" s="926"/>
      <c r="V144" s="926"/>
      <c r="W144" s="926"/>
      <c r="X144" s="926"/>
      <c r="Y144" s="927"/>
      <c r="Z144" s="927"/>
      <c r="AA144" s="927"/>
      <c r="AB144" s="927"/>
      <c r="AC144" s="927"/>
      <c r="AD144" s="927"/>
      <c r="AE144" s="927"/>
      <c r="AF144" s="928"/>
      <c r="AG144" s="928"/>
      <c r="AH144" s="926"/>
      <c r="AI144" s="926"/>
      <c r="AJ144" s="926"/>
      <c r="AK144" s="929"/>
      <c r="AL144" s="929"/>
      <c r="AM144" s="929"/>
      <c r="AN144" s="929"/>
      <c r="AO144" s="929"/>
      <c r="AP144" s="930"/>
      <c r="AQ144" s="930"/>
      <c r="AR144" s="930"/>
      <c r="AS144" s="930"/>
      <c r="AT144" s="930"/>
      <c r="AU144" s="930"/>
      <c r="AV144" s="930"/>
      <c r="AW144" s="929"/>
      <c r="AX144" s="931"/>
      <c r="AY144" s="932"/>
    </row>
    <row r="145" spans="1:51" s="160" customFormat="1" ht="15" customHeight="1" x14ac:dyDescent="0.3">
      <c r="B145" s="890">
        <v>46037</v>
      </c>
      <c r="C145" s="891">
        <v>0</v>
      </c>
      <c r="D145" s="892" t="s">
        <v>1247</v>
      </c>
      <c r="E145" s="887" t="s">
        <v>1248</v>
      </c>
      <c r="F145" s="894">
        <v>26.9</v>
      </c>
      <c r="G145" s="897">
        <v>26.9</v>
      </c>
      <c r="H145" s="895"/>
      <c r="I145" s="898">
        <f t="shared" si="1"/>
        <v>4490.9199999999892</v>
      </c>
      <c r="J145" s="423"/>
      <c r="K145" s="896">
        <f t="shared" si="0"/>
        <v>26.900000000000002</v>
      </c>
      <c r="L145" s="926">
        <v>4.4800000000000004</v>
      </c>
      <c r="M145" s="902"/>
      <c r="N145" s="927"/>
      <c r="O145" s="926"/>
      <c r="P145" s="926"/>
      <c r="Q145" s="926"/>
      <c r="R145" s="926"/>
      <c r="S145" s="926"/>
      <c r="T145" s="926"/>
      <c r="U145" s="926"/>
      <c r="V145" s="926"/>
      <c r="W145" s="926"/>
      <c r="X145" s="926"/>
      <c r="Y145" s="927"/>
      <c r="Z145" s="927"/>
      <c r="AA145" s="927"/>
      <c r="AB145" s="927"/>
      <c r="AC145" s="927"/>
      <c r="AD145" s="927"/>
      <c r="AE145" s="927"/>
      <c r="AF145" s="928"/>
      <c r="AG145" s="928"/>
      <c r="AH145" s="926"/>
      <c r="AI145" s="926"/>
      <c r="AJ145" s="926"/>
      <c r="AK145" s="929"/>
      <c r="AL145" s="929"/>
      <c r="AM145" s="929"/>
      <c r="AN145" s="929"/>
      <c r="AO145" s="929"/>
      <c r="AP145" s="930"/>
      <c r="AQ145" s="930"/>
      <c r="AR145" s="930"/>
      <c r="AS145" s="930">
        <v>22.42</v>
      </c>
      <c r="AT145" s="930"/>
      <c r="AU145" s="930"/>
      <c r="AV145" s="930"/>
      <c r="AW145" s="929"/>
      <c r="AX145" s="931"/>
      <c r="AY145" s="932"/>
    </row>
    <row r="146" spans="1:51" s="160" customFormat="1" ht="15" customHeight="1" x14ac:dyDescent="0.3">
      <c r="B146" s="890">
        <v>46037</v>
      </c>
      <c r="C146" s="891">
        <v>197547747</v>
      </c>
      <c r="D146" s="892" t="s">
        <v>1249</v>
      </c>
      <c r="E146" s="887" t="s">
        <v>1250</v>
      </c>
      <c r="F146" s="894">
        <v>823.5</v>
      </c>
      <c r="G146" s="897">
        <v>823.5</v>
      </c>
      <c r="H146" s="895"/>
      <c r="I146" s="898">
        <f t="shared" si="1"/>
        <v>3667.4199999999892</v>
      </c>
      <c r="J146" s="423"/>
      <c r="K146" s="896">
        <f t="shared" si="0"/>
        <v>823.5</v>
      </c>
      <c r="L146" s="926">
        <v>137.25</v>
      </c>
      <c r="M146" s="902"/>
      <c r="N146" s="927"/>
      <c r="O146" s="926"/>
      <c r="P146" s="926"/>
      <c r="Q146" s="926"/>
      <c r="R146" s="926"/>
      <c r="S146" s="926"/>
      <c r="T146" s="926"/>
      <c r="U146" s="926"/>
      <c r="V146" s="926"/>
      <c r="W146" s="926"/>
      <c r="X146" s="926"/>
      <c r="Y146" s="927"/>
      <c r="Z146" s="927"/>
      <c r="AA146" s="927"/>
      <c r="AB146" s="927"/>
      <c r="AC146" s="927"/>
      <c r="AD146" s="927"/>
      <c r="AE146" s="927"/>
      <c r="AF146" s="928"/>
      <c r="AG146" s="928"/>
      <c r="AH146" s="926"/>
      <c r="AI146" s="926"/>
      <c r="AJ146" s="926"/>
      <c r="AK146" s="929"/>
      <c r="AL146" s="929"/>
      <c r="AM146" s="929"/>
      <c r="AN146" s="929"/>
      <c r="AO146" s="929"/>
      <c r="AP146" s="930">
        <v>686.25</v>
      </c>
      <c r="AQ146" s="930"/>
      <c r="AR146" s="930"/>
      <c r="AS146" s="930"/>
      <c r="AT146" s="930"/>
      <c r="AU146" s="930"/>
      <c r="AV146" s="930"/>
      <c r="AW146" s="929"/>
      <c r="AX146" s="931"/>
      <c r="AY146" s="932"/>
    </row>
    <row r="147" spans="1:51" s="160" customFormat="1" ht="15" customHeight="1" x14ac:dyDescent="0.3">
      <c r="B147" s="890">
        <v>46037</v>
      </c>
      <c r="C147" s="891">
        <v>197547747</v>
      </c>
      <c r="D147" s="892" t="s">
        <v>1249</v>
      </c>
      <c r="E147" s="887" t="s">
        <v>1250</v>
      </c>
      <c r="F147" s="899">
        <v>274.5</v>
      </c>
      <c r="G147" s="895">
        <v>274.5</v>
      </c>
      <c r="H147" s="895"/>
      <c r="I147" s="898">
        <f t="shared" si="1"/>
        <v>3392.9199999999892</v>
      </c>
      <c r="J147" s="423"/>
      <c r="K147" s="896">
        <f t="shared" si="0"/>
        <v>274.5</v>
      </c>
      <c r="L147" s="926">
        <v>45.75</v>
      </c>
      <c r="M147" s="902"/>
      <c r="N147" s="927"/>
      <c r="O147" s="926"/>
      <c r="P147" s="926"/>
      <c r="Q147" s="926"/>
      <c r="R147" s="926"/>
      <c r="S147" s="926"/>
      <c r="T147" s="926"/>
      <c r="U147" s="926"/>
      <c r="V147" s="926"/>
      <c r="W147" s="926"/>
      <c r="X147" s="926"/>
      <c r="Y147" s="927"/>
      <c r="Z147" s="927"/>
      <c r="AA147" s="927"/>
      <c r="AB147" s="927"/>
      <c r="AC147" s="927"/>
      <c r="AD147" s="927"/>
      <c r="AE147" s="927"/>
      <c r="AF147" s="928"/>
      <c r="AG147" s="928"/>
      <c r="AH147" s="926"/>
      <c r="AI147" s="926"/>
      <c r="AJ147" s="926"/>
      <c r="AK147" s="929"/>
      <c r="AL147" s="929"/>
      <c r="AM147" s="929"/>
      <c r="AN147" s="929"/>
      <c r="AO147" s="929"/>
      <c r="AP147" s="930">
        <v>228.75</v>
      </c>
      <c r="AQ147" s="930"/>
      <c r="AR147" s="930"/>
      <c r="AS147" s="930"/>
      <c r="AT147" s="930"/>
      <c r="AU147" s="930"/>
      <c r="AV147" s="930"/>
      <c r="AW147" s="929"/>
      <c r="AX147" s="931"/>
      <c r="AY147" s="932"/>
    </row>
    <row r="148" spans="1:51" s="160" customFormat="1" ht="15" customHeight="1" x14ac:dyDescent="0.3">
      <c r="B148" s="890">
        <v>46037</v>
      </c>
      <c r="C148" s="891">
        <v>821334463</v>
      </c>
      <c r="D148" s="892" t="s">
        <v>1285</v>
      </c>
      <c r="E148" s="887" t="s">
        <v>1251</v>
      </c>
      <c r="F148" s="899">
        <v>93.27</v>
      </c>
      <c r="G148" s="897">
        <v>93.27</v>
      </c>
      <c r="H148" s="895"/>
      <c r="I148" s="898">
        <f t="shared" si="1"/>
        <v>3299.6499999999892</v>
      </c>
      <c r="J148" s="423"/>
      <c r="K148" s="896">
        <f>SUM(L148:AY148)</f>
        <v>93.27</v>
      </c>
      <c r="L148" s="926">
        <v>14.88</v>
      </c>
      <c r="M148" s="902"/>
      <c r="N148" s="927"/>
      <c r="O148" s="926"/>
      <c r="P148" s="926"/>
      <c r="Q148" s="926"/>
      <c r="R148" s="926"/>
      <c r="S148" s="926"/>
      <c r="T148" s="926"/>
      <c r="U148" s="926"/>
      <c r="V148" s="926"/>
      <c r="W148" s="926"/>
      <c r="X148" s="926"/>
      <c r="Y148" s="927"/>
      <c r="Z148" s="927"/>
      <c r="AA148" s="927"/>
      <c r="AB148" s="927"/>
      <c r="AC148" s="927"/>
      <c r="AD148" s="927"/>
      <c r="AE148" s="927"/>
      <c r="AF148" s="928"/>
      <c r="AG148" s="928"/>
      <c r="AH148" s="926"/>
      <c r="AI148" s="926"/>
      <c r="AJ148" s="926">
        <v>78.39</v>
      </c>
      <c r="AK148" s="929"/>
      <c r="AL148" s="929"/>
      <c r="AM148" s="929"/>
      <c r="AN148" s="929"/>
      <c r="AO148" s="929"/>
      <c r="AP148" s="930"/>
      <c r="AQ148" s="930"/>
      <c r="AR148" s="930"/>
      <c r="AS148" s="930"/>
      <c r="AT148" s="930"/>
      <c r="AU148" s="930"/>
      <c r="AV148" s="930"/>
      <c r="AW148" s="929"/>
      <c r="AX148" s="931"/>
      <c r="AY148" s="932"/>
    </row>
    <row r="149" spans="1:51" s="160" customFormat="1" ht="15" customHeight="1" x14ac:dyDescent="0.3">
      <c r="A149" s="868"/>
      <c r="B149" s="890">
        <v>46037</v>
      </c>
      <c r="C149" s="891">
        <v>245719348</v>
      </c>
      <c r="D149" s="892" t="s">
        <v>1252</v>
      </c>
      <c r="E149" s="887" t="s">
        <v>1253</v>
      </c>
      <c r="F149" s="894">
        <v>25.43</v>
      </c>
      <c r="G149" s="897">
        <v>25.43</v>
      </c>
      <c r="H149" s="895"/>
      <c r="I149" s="898">
        <f t="shared" si="1"/>
        <v>3274.2199999999893</v>
      </c>
      <c r="J149" s="423"/>
      <c r="K149" s="896">
        <f t="shared" si="0"/>
        <v>25.43</v>
      </c>
      <c r="L149" s="926">
        <v>4.24</v>
      </c>
      <c r="M149" s="902"/>
      <c r="N149" s="927"/>
      <c r="O149" s="926"/>
      <c r="P149" s="926"/>
      <c r="Q149" s="926"/>
      <c r="R149" s="926"/>
      <c r="S149" s="926"/>
      <c r="T149" s="926"/>
      <c r="U149" s="926"/>
      <c r="V149" s="926"/>
      <c r="W149" s="926"/>
      <c r="X149" s="926"/>
      <c r="Y149" s="927"/>
      <c r="Z149" s="927"/>
      <c r="AA149" s="927"/>
      <c r="AB149" s="927"/>
      <c r="AC149" s="927"/>
      <c r="AD149" s="927"/>
      <c r="AE149" s="927"/>
      <c r="AF149" s="928"/>
      <c r="AG149" s="928"/>
      <c r="AH149" s="926"/>
      <c r="AI149" s="926"/>
      <c r="AJ149" s="926"/>
      <c r="AK149" s="929"/>
      <c r="AL149" s="929"/>
      <c r="AM149" s="929"/>
      <c r="AN149" s="929"/>
      <c r="AO149" s="929"/>
      <c r="AP149" s="930"/>
      <c r="AQ149" s="930"/>
      <c r="AR149" s="930"/>
      <c r="AS149" s="930"/>
      <c r="AT149" s="930"/>
      <c r="AU149" s="930"/>
      <c r="AV149" s="930"/>
      <c r="AW149" s="929"/>
      <c r="AX149" s="931"/>
      <c r="AY149" s="932">
        <v>21.19</v>
      </c>
    </row>
    <row r="150" spans="1:51" s="160" customFormat="1" ht="15" customHeight="1" x14ac:dyDescent="0.3">
      <c r="B150" s="890">
        <v>46037</v>
      </c>
      <c r="C150" s="891">
        <v>0</v>
      </c>
      <c r="D150" s="892" t="s">
        <v>1159</v>
      </c>
      <c r="E150" s="887" t="s">
        <v>1255</v>
      </c>
      <c r="F150" s="894"/>
      <c r="G150" s="895"/>
      <c r="H150" s="897">
        <v>10000</v>
      </c>
      <c r="I150" s="898">
        <f t="shared" si="1"/>
        <v>13274.21999999999</v>
      </c>
      <c r="J150" s="423"/>
      <c r="K150" s="896">
        <f t="shared" si="0"/>
        <v>0</v>
      </c>
      <c r="L150" s="926">
        <v>0</v>
      </c>
      <c r="M150" s="902"/>
      <c r="N150" s="927"/>
      <c r="O150" s="926"/>
      <c r="P150" s="926"/>
      <c r="Q150" s="926"/>
      <c r="R150" s="926"/>
      <c r="S150" s="926"/>
      <c r="T150" s="926"/>
      <c r="U150" s="926"/>
      <c r="V150" s="926"/>
      <c r="W150" s="926"/>
      <c r="X150" s="926"/>
      <c r="Y150" s="927"/>
      <c r="Z150" s="927"/>
      <c r="AA150" s="927"/>
      <c r="AB150" s="927"/>
      <c r="AC150" s="927"/>
      <c r="AD150" s="927"/>
      <c r="AE150" s="927"/>
      <c r="AF150" s="928"/>
      <c r="AG150" s="928"/>
      <c r="AH150" s="926"/>
      <c r="AI150" s="926"/>
      <c r="AJ150" s="926"/>
      <c r="AK150" s="929"/>
      <c r="AL150" s="929"/>
      <c r="AM150" s="929"/>
      <c r="AN150" s="929"/>
      <c r="AO150" s="929"/>
      <c r="AP150" s="930"/>
      <c r="AQ150" s="930"/>
      <c r="AR150" s="930"/>
      <c r="AS150" s="930"/>
      <c r="AT150" s="930"/>
      <c r="AU150" s="930"/>
      <c r="AV150" s="930"/>
      <c r="AW150" s="929"/>
      <c r="AX150" s="931"/>
      <c r="AY150" s="932"/>
    </row>
    <row r="151" spans="1:51" s="160" customFormat="1" ht="15" customHeight="1" x14ac:dyDescent="0.3">
      <c r="B151" s="890">
        <v>46037</v>
      </c>
      <c r="C151" s="891">
        <v>131254412</v>
      </c>
      <c r="D151" s="892" t="s">
        <v>1259</v>
      </c>
      <c r="E151" s="887" t="s">
        <v>1260</v>
      </c>
      <c r="F151" s="894">
        <v>97.78</v>
      </c>
      <c r="G151" s="897">
        <v>97.78</v>
      </c>
      <c r="H151" s="895"/>
      <c r="I151" s="898">
        <f t="shared" si="1"/>
        <v>13176.43999999999</v>
      </c>
      <c r="J151" s="423"/>
      <c r="K151" s="896">
        <f t="shared" si="0"/>
        <v>97.78</v>
      </c>
      <c r="L151" s="926">
        <v>16.3</v>
      </c>
      <c r="M151" s="902"/>
      <c r="N151" s="927"/>
      <c r="O151" s="926"/>
      <c r="P151" s="926"/>
      <c r="Q151" s="926"/>
      <c r="R151" s="926"/>
      <c r="S151" s="926"/>
      <c r="T151" s="926"/>
      <c r="U151" s="926"/>
      <c r="V151" s="926"/>
      <c r="W151" s="926"/>
      <c r="X151" s="926"/>
      <c r="Y151" s="927"/>
      <c r="Z151" s="927"/>
      <c r="AA151" s="927"/>
      <c r="AB151" s="927"/>
      <c r="AC151" s="927"/>
      <c r="AD151" s="927"/>
      <c r="AE151" s="927"/>
      <c r="AF151" s="928"/>
      <c r="AG151" s="928"/>
      <c r="AH151" s="926"/>
      <c r="AI151" s="926"/>
      <c r="AJ151" s="926"/>
      <c r="AK151" s="929"/>
      <c r="AL151" s="929"/>
      <c r="AM151" s="929"/>
      <c r="AN151" s="929"/>
      <c r="AO151" s="929"/>
      <c r="AP151" s="930"/>
      <c r="AQ151" s="930"/>
      <c r="AR151" s="930"/>
      <c r="AS151" s="930"/>
      <c r="AT151" s="930"/>
      <c r="AU151" s="930"/>
      <c r="AV151" s="930">
        <v>81.48</v>
      </c>
      <c r="AW151" s="929"/>
      <c r="AX151" s="931"/>
      <c r="AY151" s="932"/>
    </row>
    <row r="152" spans="1:51" s="160" customFormat="1" ht="15" customHeight="1" x14ac:dyDescent="0.3">
      <c r="B152" s="890">
        <v>46037</v>
      </c>
      <c r="C152" s="891">
        <v>0</v>
      </c>
      <c r="D152" s="892" t="s">
        <v>1262</v>
      </c>
      <c r="E152" s="887" t="s">
        <v>1261</v>
      </c>
      <c r="F152" s="894"/>
      <c r="G152" s="895"/>
      <c r="H152" s="897">
        <v>29.04</v>
      </c>
      <c r="I152" s="898">
        <f t="shared" si="1"/>
        <v>13205.47999999999</v>
      </c>
      <c r="J152" s="423"/>
      <c r="K152" s="896">
        <f t="shared" si="0"/>
        <v>0</v>
      </c>
      <c r="L152" s="926">
        <v>0</v>
      </c>
      <c r="M152" s="902"/>
      <c r="N152" s="927"/>
      <c r="O152" s="926"/>
      <c r="P152" s="926"/>
      <c r="Q152" s="926"/>
      <c r="R152" s="926"/>
      <c r="S152" s="926"/>
      <c r="T152" s="926"/>
      <c r="U152" s="926"/>
      <c r="V152" s="926"/>
      <c r="W152" s="926"/>
      <c r="X152" s="926"/>
      <c r="Y152" s="927"/>
      <c r="Z152" s="927"/>
      <c r="AA152" s="927"/>
      <c r="AB152" s="927"/>
      <c r="AC152" s="927"/>
      <c r="AD152" s="927"/>
      <c r="AE152" s="927"/>
      <c r="AF152" s="928"/>
      <c r="AG152" s="928"/>
      <c r="AH152" s="926"/>
      <c r="AI152" s="926"/>
      <c r="AJ152" s="926"/>
      <c r="AK152" s="929"/>
      <c r="AL152" s="929"/>
      <c r="AM152" s="929"/>
      <c r="AN152" s="929"/>
      <c r="AO152" s="929"/>
      <c r="AP152" s="930"/>
      <c r="AQ152" s="930"/>
      <c r="AR152" s="930"/>
      <c r="AS152" s="930"/>
      <c r="AT152" s="930"/>
      <c r="AU152" s="930"/>
      <c r="AV152" s="930"/>
      <c r="AW152" s="929"/>
      <c r="AX152" s="931"/>
      <c r="AY152" s="932"/>
    </row>
    <row r="153" spans="1:51" s="160" customFormat="1" ht="15" customHeight="1" x14ac:dyDescent="0.3">
      <c r="B153" s="890">
        <v>46037</v>
      </c>
      <c r="C153" s="891">
        <v>0</v>
      </c>
      <c r="D153" s="892" t="s">
        <v>1262</v>
      </c>
      <c r="E153" s="887" t="s">
        <v>1261</v>
      </c>
      <c r="F153" s="894"/>
      <c r="G153" s="895"/>
      <c r="H153" s="897">
        <v>-29.04</v>
      </c>
      <c r="I153" s="898">
        <f t="shared" si="1"/>
        <v>13176.43999999999</v>
      </c>
      <c r="J153" s="423"/>
      <c r="K153" s="896">
        <f t="shared" si="0"/>
        <v>0</v>
      </c>
      <c r="L153" s="926">
        <v>0</v>
      </c>
      <c r="M153" s="902"/>
      <c r="N153" s="927"/>
      <c r="O153" s="926"/>
      <c r="P153" s="926"/>
      <c r="Q153" s="926"/>
      <c r="R153" s="926"/>
      <c r="S153" s="926"/>
      <c r="T153" s="926"/>
      <c r="U153" s="926"/>
      <c r="V153" s="926"/>
      <c r="W153" s="926"/>
      <c r="X153" s="926"/>
      <c r="Y153" s="927"/>
      <c r="Z153" s="927"/>
      <c r="AA153" s="927"/>
      <c r="AB153" s="927"/>
      <c r="AC153" s="927"/>
      <c r="AD153" s="927"/>
      <c r="AE153" s="927"/>
      <c r="AF153" s="928"/>
      <c r="AG153" s="928"/>
      <c r="AH153" s="926"/>
      <c r="AI153" s="926"/>
      <c r="AJ153" s="926"/>
      <c r="AK153" s="929"/>
      <c r="AL153" s="929"/>
      <c r="AM153" s="929"/>
      <c r="AN153" s="929"/>
      <c r="AO153" s="929"/>
      <c r="AP153" s="930"/>
      <c r="AQ153" s="930"/>
      <c r="AR153" s="930"/>
      <c r="AS153" s="930"/>
      <c r="AT153" s="930"/>
      <c r="AU153" s="930"/>
      <c r="AV153" s="930"/>
      <c r="AW153" s="929"/>
      <c r="AX153" s="931"/>
      <c r="AY153" s="932"/>
    </row>
    <row r="154" spans="1:51" s="160" customFormat="1" ht="15" customHeight="1" x14ac:dyDescent="0.3">
      <c r="B154" s="890">
        <v>46058</v>
      </c>
      <c r="C154" s="891">
        <v>0</v>
      </c>
      <c r="D154" s="892" t="s">
        <v>948</v>
      </c>
      <c r="E154" s="887" t="s">
        <v>1280</v>
      </c>
      <c r="F154" s="894"/>
      <c r="G154" s="895"/>
      <c r="H154" s="897">
        <v>5000</v>
      </c>
      <c r="I154" s="898">
        <f t="shared" si="1"/>
        <v>18176.439999999988</v>
      </c>
      <c r="J154" s="423"/>
      <c r="K154" s="896"/>
      <c r="L154" s="926"/>
      <c r="M154" s="902"/>
      <c r="N154" s="927"/>
      <c r="O154" s="926"/>
      <c r="P154" s="926"/>
      <c r="Q154" s="926"/>
      <c r="R154" s="926"/>
      <c r="S154" s="926"/>
      <c r="T154" s="926"/>
      <c r="U154" s="926"/>
      <c r="V154" s="926"/>
      <c r="W154" s="926"/>
      <c r="X154" s="926"/>
      <c r="Y154" s="927"/>
      <c r="Z154" s="927"/>
      <c r="AA154" s="927"/>
      <c r="AB154" s="927"/>
      <c r="AC154" s="927"/>
      <c r="AD154" s="927"/>
      <c r="AE154" s="927"/>
      <c r="AF154" s="928"/>
      <c r="AG154" s="928"/>
      <c r="AH154" s="926"/>
      <c r="AI154" s="926"/>
      <c r="AJ154" s="926"/>
      <c r="AK154" s="929"/>
      <c r="AL154" s="929"/>
      <c r="AM154" s="929"/>
      <c r="AN154" s="929"/>
      <c r="AO154" s="929"/>
      <c r="AP154" s="930"/>
      <c r="AQ154" s="930"/>
      <c r="AR154" s="930"/>
      <c r="AS154" s="930"/>
      <c r="AT154" s="930"/>
      <c r="AU154" s="930"/>
      <c r="AV154" s="930"/>
      <c r="AW154" s="929"/>
      <c r="AX154" s="931"/>
      <c r="AY154" s="932"/>
    </row>
    <row r="155" spans="1:51" s="160" customFormat="1" ht="15" customHeight="1" x14ac:dyDescent="0.3">
      <c r="B155" s="890">
        <v>46058</v>
      </c>
      <c r="C155" s="891">
        <v>0</v>
      </c>
      <c r="D155" s="892" t="s">
        <v>1264</v>
      </c>
      <c r="E155" s="887" t="s">
        <v>1265</v>
      </c>
      <c r="F155" s="894">
        <v>1489.75</v>
      </c>
      <c r="G155" s="895"/>
      <c r="H155" s="895"/>
      <c r="I155" s="898">
        <f t="shared" si="1"/>
        <v>18176.439999999988</v>
      </c>
      <c r="J155" s="423"/>
      <c r="K155" s="896">
        <f t="shared" si="0"/>
        <v>1489.75</v>
      </c>
      <c r="L155" s="926">
        <v>0</v>
      </c>
      <c r="M155" s="902"/>
      <c r="N155" s="927"/>
      <c r="O155" s="926">
        <v>1267.75</v>
      </c>
      <c r="P155" s="926"/>
      <c r="Q155" s="926"/>
      <c r="R155" s="926"/>
      <c r="S155" s="926"/>
      <c r="T155" s="926"/>
      <c r="U155" s="926"/>
      <c r="V155" s="926"/>
      <c r="W155" s="926"/>
      <c r="X155" s="926"/>
      <c r="Y155" s="927"/>
      <c r="Z155" s="927"/>
      <c r="AA155" s="927"/>
      <c r="AB155" s="927"/>
      <c r="AC155" s="927"/>
      <c r="AD155" s="927"/>
      <c r="AE155" s="927"/>
      <c r="AF155" s="928"/>
      <c r="AG155" s="928"/>
      <c r="AH155" s="926"/>
      <c r="AI155" s="926"/>
      <c r="AJ155" s="926"/>
      <c r="AK155" s="929"/>
      <c r="AL155" s="929"/>
      <c r="AM155" s="929"/>
      <c r="AN155" s="929">
        <v>222</v>
      </c>
      <c r="AO155" s="929"/>
      <c r="AP155" s="930"/>
      <c r="AQ155" s="930"/>
      <c r="AR155" s="930"/>
      <c r="AS155" s="930"/>
      <c r="AT155" s="930"/>
      <c r="AU155" s="930"/>
      <c r="AV155" s="930"/>
      <c r="AW155" s="929"/>
      <c r="AX155" s="931"/>
      <c r="AY155" s="932"/>
    </row>
    <row r="156" spans="1:51" s="160" customFormat="1" ht="15" customHeight="1" x14ac:dyDescent="0.3">
      <c r="B156" s="890">
        <v>46058</v>
      </c>
      <c r="C156" s="891">
        <v>724594615</v>
      </c>
      <c r="D156" s="892" t="s">
        <v>925</v>
      </c>
      <c r="E156" s="887" t="s">
        <v>1265</v>
      </c>
      <c r="F156" s="894">
        <v>46.52</v>
      </c>
      <c r="G156" s="897">
        <f>SUM(F155:F156)</f>
        <v>1536.27</v>
      </c>
      <c r="H156" s="895"/>
      <c r="I156" s="898">
        <f t="shared" si="1"/>
        <v>16640.169999999987</v>
      </c>
      <c r="J156" s="423"/>
      <c r="K156" s="896">
        <f t="shared" si="0"/>
        <v>46.52</v>
      </c>
      <c r="L156" s="926">
        <v>1.92</v>
      </c>
      <c r="M156" s="902"/>
      <c r="N156" s="927"/>
      <c r="O156" s="926"/>
      <c r="P156" s="926"/>
      <c r="Q156" s="926"/>
      <c r="R156" s="926">
        <v>44.6</v>
      </c>
      <c r="S156" s="926"/>
      <c r="T156" s="926"/>
      <c r="U156" s="926"/>
      <c r="V156" s="926"/>
      <c r="W156" s="926"/>
      <c r="X156" s="926"/>
      <c r="Y156" s="927"/>
      <c r="Z156" s="927"/>
      <c r="AA156" s="927"/>
      <c r="AB156" s="927"/>
      <c r="AC156" s="927"/>
      <c r="AD156" s="927"/>
      <c r="AE156" s="927"/>
      <c r="AF156" s="928"/>
      <c r="AG156" s="928"/>
      <c r="AH156" s="926"/>
      <c r="AI156" s="926"/>
      <c r="AJ156" s="926"/>
      <c r="AK156" s="929"/>
      <c r="AL156" s="929"/>
      <c r="AM156" s="929"/>
      <c r="AN156" s="929"/>
      <c r="AO156" s="929"/>
      <c r="AP156" s="930"/>
      <c r="AQ156" s="930"/>
      <c r="AR156" s="930"/>
      <c r="AS156" s="930"/>
      <c r="AT156" s="930"/>
      <c r="AU156" s="930"/>
      <c r="AV156" s="930"/>
      <c r="AW156" s="929"/>
      <c r="AX156" s="931"/>
      <c r="AY156" s="932"/>
    </row>
    <row r="157" spans="1:51" s="160" customFormat="1" ht="15" customHeight="1" x14ac:dyDescent="0.3">
      <c r="B157" s="890">
        <v>46058</v>
      </c>
      <c r="C157" s="891">
        <v>0</v>
      </c>
      <c r="D157" s="892" t="s">
        <v>1266</v>
      </c>
      <c r="E157" s="887" t="s">
        <v>1267</v>
      </c>
      <c r="F157" s="894">
        <v>153.87</v>
      </c>
      <c r="G157" s="897">
        <v>153.87</v>
      </c>
      <c r="H157" s="895"/>
      <c r="I157" s="898">
        <f t="shared" si="1"/>
        <v>16486.299999999988</v>
      </c>
      <c r="J157" s="423"/>
      <c r="K157" s="896">
        <f t="shared" si="0"/>
        <v>153.87</v>
      </c>
      <c r="L157" s="926">
        <v>0</v>
      </c>
      <c r="M157" s="902"/>
      <c r="N157" s="927"/>
      <c r="O157" s="926"/>
      <c r="P157" s="926"/>
      <c r="Q157" s="926"/>
      <c r="R157" s="926"/>
      <c r="S157" s="926"/>
      <c r="T157" s="926"/>
      <c r="U157" s="926"/>
      <c r="V157" s="926"/>
      <c r="W157" s="926"/>
      <c r="X157" s="926"/>
      <c r="Y157" s="927"/>
      <c r="Z157" s="927"/>
      <c r="AA157" s="927"/>
      <c r="AB157" s="927"/>
      <c r="AC157" s="927"/>
      <c r="AD157" s="927"/>
      <c r="AE157" s="927"/>
      <c r="AF157" s="928"/>
      <c r="AG157" s="928"/>
      <c r="AH157" s="926"/>
      <c r="AI157" s="926"/>
      <c r="AJ157" s="926"/>
      <c r="AK157" s="929"/>
      <c r="AL157" s="929"/>
      <c r="AM157" s="929"/>
      <c r="AN157" s="929"/>
      <c r="AO157" s="929">
        <v>153.87</v>
      </c>
      <c r="AP157" s="930"/>
      <c r="AQ157" s="930"/>
      <c r="AR157" s="930"/>
      <c r="AS157" s="930"/>
      <c r="AT157" s="930"/>
      <c r="AU157" s="930"/>
      <c r="AV157" s="930"/>
      <c r="AW157" s="929"/>
      <c r="AX157" s="931"/>
      <c r="AY157" s="932"/>
    </row>
    <row r="158" spans="1:51" s="160" customFormat="1" ht="15" customHeight="1" x14ac:dyDescent="0.3">
      <c r="B158" s="890">
        <v>46058</v>
      </c>
      <c r="C158" s="891">
        <v>0</v>
      </c>
      <c r="D158" s="892" t="s">
        <v>1268</v>
      </c>
      <c r="E158" s="887" t="s">
        <v>1269</v>
      </c>
      <c r="F158" s="894">
        <v>425.49</v>
      </c>
      <c r="G158" s="897">
        <v>425.49</v>
      </c>
      <c r="H158" s="895"/>
      <c r="I158" s="898">
        <f t="shared" si="1"/>
        <v>16060.809999999989</v>
      </c>
      <c r="J158" s="423"/>
      <c r="K158" s="896">
        <f t="shared" si="0"/>
        <v>425.49</v>
      </c>
      <c r="L158" s="926">
        <v>0</v>
      </c>
      <c r="M158" s="902"/>
      <c r="N158" s="927"/>
      <c r="O158" s="926">
        <v>183.24</v>
      </c>
      <c r="P158" s="926"/>
      <c r="Q158" s="926">
        <v>203.85</v>
      </c>
      <c r="R158" s="926"/>
      <c r="S158" s="926"/>
      <c r="T158" s="926"/>
      <c r="U158" s="926"/>
      <c r="V158" s="926"/>
      <c r="W158" s="926"/>
      <c r="X158" s="926"/>
      <c r="Y158" s="927"/>
      <c r="Z158" s="927"/>
      <c r="AA158" s="927"/>
      <c r="AB158" s="927"/>
      <c r="AC158" s="927"/>
      <c r="AD158" s="927"/>
      <c r="AE158" s="927"/>
      <c r="AF158" s="928"/>
      <c r="AG158" s="928"/>
      <c r="AH158" s="926"/>
      <c r="AI158" s="926"/>
      <c r="AJ158" s="926"/>
      <c r="AK158" s="929"/>
      <c r="AL158" s="929"/>
      <c r="AM158" s="929"/>
      <c r="AN158" s="929"/>
      <c r="AO158" s="929">
        <v>38.4</v>
      </c>
      <c r="AP158" s="930"/>
      <c r="AQ158" s="930"/>
      <c r="AR158" s="930"/>
      <c r="AS158" s="930"/>
      <c r="AT158" s="930"/>
      <c r="AU158" s="930"/>
      <c r="AV158" s="930"/>
      <c r="AW158" s="929"/>
      <c r="AX158" s="931"/>
      <c r="AY158" s="932"/>
    </row>
    <row r="159" spans="1:51" s="160" customFormat="1" ht="15" customHeight="1" x14ac:dyDescent="0.3">
      <c r="B159" s="890">
        <v>46058</v>
      </c>
      <c r="C159" s="891">
        <v>0</v>
      </c>
      <c r="D159" s="892" t="s">
        <v>1270</v>
      </c>
      <c r="E159" s="887" t="s">
        <v>1271</v>
      </c>
      <c r="F159" s="894">
        <v>499.06</v>
      </c>
      <c r="G159" s="897">
        <v>499.06</v>
      </c>
      <c r="H159" s="895"/>
      <c r="I159" s="898">
        <f t="shared" si="1"/>
        <v>15561.749999999989</v>
      </c>
      <c r="J159" s="423"/>
      <c r="K159" s="896">
        <f t="shared" si="0"/>
        <v>499.06</v>
      </c>
      <c r="L159" s="926">
        <v>0</v>
      </c>
      <c r="M159" s="902"/>
      <c r="N159" s="927"/>
      <c r="O159" s="926">
        <v>103.01</v>
      </c>
      <c r="P159" s="926">
        <v>396.05</v>
      </c>
      <c r="Q159" s="926"/>
      <c r="R159" s="926"/>
      <c r="S159" s="926"/>
      <c r="T159" s="926"/>
      <c r="U159" s="926"/>
      <c r="V159" s="926"/>
      <c r="W159" s="926"/>
      <c r="X159" s="926"/>
      <c r="Y159" s="927"/>
      <c r="Z159" s="927"/>
      <c r="AA159" s="927"/>
      <c r="AB159" s="927"/>
      <c r="AC159" s="927"/>
      <c r="AD159" s="927"/>
      <c r="AE159" s="927"/>
      <c r="AF159" s="928"/>
      <c r="AG159" s="928"/>
      <c r="AH159" s="926"/>
      <c r="AI159" s="926"/>
      <c r="AJ159" s="926"/>
      <c r="AK159" s="929"/>
      <c r="AL159" s="929"/>
      <c r="AM159" s="929"/>
      <c r="AN159" s="929"/>
      <c r="AO159" s="929"/>
      <c r="AP159" s="930"/>
      <c r="AQ159" s="930"/>
      <c r="AR159" s="930"/>
      <c r="AS159" s="930"/>
      <c r="AT159" s="930"/>
      <c r="AU159" s="930"/>
      <c r="AV159" s="930"/>
      <c r="AW159" s="929"/>
      <c r="AX159" s="931"/>
      <c r="AY159" s="932"/>
    </row>
    <row r="160" spans="1:51" s="160" customFormat="1" ht="15" customHeight="1" x14ac:dyDescent="0.3">
      <c r="B160" s="890">
        <v>46058</v>
      </c>
      <c r="C160" s="891">
        <v>0</v>
      </c>
      <c r="D160" s="892" t="s">
        <v>1272</v>
      </c>
      <c r="E160" s="887" t="s">
        <v>1273</v>
      </c>
      <c r="F160" s="894">
        <v>410</v>
      </c>
      <c r="G160" s="897">
        <v>410</v>
      </c>
      <c r="H160" s="895"/>
      <c r="I160" s="898">
        <f t="shared" si="1"/>
        <v>15151.749999999989</v>
      </c>
      <c r="J160" s="423"/>
      <c r="K160" s="896">
        <f t="shared" si="0"/>
        <v>410</v>
      </c>
      <c r="L160" s="926">
        <v>0</v>
      </c>
      <c r="M160" s="902"/>
      <c r="N160" s="927"/>
      <c r="O160" s="926"/>
      <c r="P160" s="926"/>
      <c r="Q160" s="926"/>
      <c r="R160" s="926"/>
      <c r="S160" s="926"/>
      <c r="T160" s="926"/>
      <c r="U160" s="926"/>
      <c r="V160" s="926"/>
      <c r="W160" s="926"/>
      <c r="X160" s="926"/>
      <c r="Y160" s="927"/>
      <c r="Z160" s="927"/>
      <c r="AA160" s="927"/>
      <c r="AB160" s="927"/>
      <c r="AC160" s="927">
        <v>410</v>
      </c>
      <c r="AD160" s="927"/>
      <c r="AE160" s="927"/>
      <c r="AF160" s="928"/>
      <c r="AG160" s="928"/>
      <c r="AH160" s="926"/>
      <c r="AI160" s="926"/>
      <c r="AJ160" s="926"/>
      <c r="AK160" s="929"/>
      <c r="AL160" s="929"/>
      <c r="AM160" s="929"/>
      <c r="AN160" s="929"/>
      <c r="AO160" s="929"/>
      <c r="AP160" s="930"/>
      <c r="AQ160" s="930"/>
      <c r="AR160" s="930"/>
      <c r="AS160" s="930"/>
      <c r="AT160" s="930"/>
      <c r="AU160" s="930"/>
      <c r="AV160" s="930"/>
      <c r="AW160" s="929"/>
      <c r="AX160" s="931"/>
      <c r="AY160" s="932"/>
    </row>
    <row r="161" spans="2:51" s="160" customFormat="1" ht="15" customHeight="1" x14ac:dyDescent="0.3">
      <c r="B161" s="890">
        <v>46058</v>
      </c>
      <c r="C161" s="891">
        <v>0</v>
      </c>
      <c r="D161" s="892" t="s">
        <v>1274</v>
      </c>
      <c r="E161" s="887" t="s">
        <v>1275</v>
      </c>
      <c r="F161" s="894">
        <v>2000</v>
      </c>
      <c r="G161" s="897">
        <v>2000</v>
      </c>
      <c r="H161" s="895"/>
      <c r="I161" s="898">
        <f t="shared" si="1"/>
        <v>13151.749999999989</v>
      </c>
      <c r="J161" s="423"/>
      <c r="K161" s="896">
        <f t="shared" si="0"/>
        <v>2000</v>
      </c>
      <c r="L161" s="926">
        <v>0</v>
      </c>
      <c r="M161" s="902"/>
      <c r="N161" s="927"/>
      <c r="O161" s="926"/>
      <c r="P161" s="926"/>
      <c r="Q161" s="926"/>
      <c r="R161" s="926"/>
      <c r="S161" s="926"/>
      <c r="T161" s="926"/>
      <c r="U161" s="926"/>
      <c r="V161" s="926"/>
      <c r="W161" s="926"/>
      <c r="X161" s="926"/>
      <c r="Y161" s="927"/>
      <c r="Z161" s="927"/>
      <c r="AA161" s="927"/>
      <c r="AB161" s="927"/>
      <c r="AC161" s="927"/>
      <c r="AD161" s="927"/>
      <c r="AE161" s="927"/>
      <c r="AF161" s="928"/>
      <c r="AG161" s="928"/>
      <c r="AH161" s="926"/>
      <c r="AI161" s="926"/>
      <c r="AJ161" s="926"/>
      <c r="AK161" s="929"/>
      <c r="AL161" s="929"/>
      <c r="AM161" s="929">
        <v>2000</v>
      </c>
      <c r="AN161" s="929"/>
      <c r="AO161" s="929"/>
      <c r="AP161" s="930"/>
      <c r="AQ161" s="930"/>
      <c r="AR161" s="930"/>
      <c r="AS161" s="930"/>
      <c r="AT161" s="930"/>
      <c r="AU161" s="930"/>
      <c r="AV161" s="930"/>
      <c r="AW161" s="929"/>
      <c r="AX161" s="931"/>
      <c r="AY161" s="932"/>
    </row>
    <row r="162" spans="2:51" s="160" customFormat="1" ht="15" customHeight="1" x14ac:dyDescent="0.3">
      <c r="B162" s="890">
        <v>46058</v>
      </c>
      <c r="C162" s="891">
        <v>0</v>
      </c>
      <c r="D162" s="892" t="s">
        <v>1276</v>
      </c>
      <c r="E162" s="887" t="s">
        <v>1277</v>
      </c>
      <c r="F162" s="894">
        <v>401</v>
      </c>
      <c r="G162" s="897">
        <v>401</v>
      </c>
      <c r="H162" s="895"/>
      <c r="I162" s="898">
        <f t="shared" si="1"/>
        <v>12750.749999999989</v>
      </c>
      <c r="J162" s="423"/>
      <c r="K162" s="896">
        <f t="shared" si="0"/>
        <v>401</v>
      </c>
      <c r="L162" s="926">
        <v>0</v>
      </c>
      <c r="M162" s="902">
        <v>401</v>
      </c>
      <c r="N162" s="927"/>
      <c r="O162" s="926"/>
      <c r="P162" s="926"/>
      <c r="Q162" s="926"/>
      <c r="R162" s="926"/>
      <c r="S162" s="926"/>
      <c r="T162" s="926"/>
      <c r="U162" s="926"/>
      <c r="V162" s="926"/>
      <c r="W162" s="926"/>
      <c r="X162" s="926"/>
      <c r="Y162" s="927"/>
      <c r="Z162" s="927"/>
      <c r="AA162" s="927"/>
      <c r="AB162" s="927"/>
      <c r="AC162" s="927"/>
      <c r="AD162" s="927"/>
      <c r="AE162" s="927"/>
      <c r="AF162" s="928"/>
      <c r="AG162" s="928"/>
      <c r="AH162" s="926"/>
      <c r="AI162" s="926"/>
      <c r="AJ162" s="926"/>
      <c r="AK162" s="929"/>
      <c r="AL162" s="929"/>
      <c r="AM162" s="929"/>
      <c r="AN162" s="929"/>
      <c r="AO162" s="929"/>
      <c r="AP162" s="930"/>
      <c r="AQ162" s="930"/>
      <c r="AR162" s="930"/>
      <c r="AS162" s="930"/>
      <c r="AT162" s="930"/>
      <c r="AU162" s="930"/>
      <c r="AV162" s="930"/>
      <c r="AW162" s="929"/>
      <c r="AX162" s="931"/>
      <c r="AY162" s="932"/>
    </row>
    <row r="163" spans="2:51" s="160" customFormat="1" ht="15" customHeight="1" x14ac:dyDescent="0.3">
      <c r="B163" s="890">
        <v>46058</v>
      </c>
      <c r="C163" s="891">
        <v>0</v>
      </c>
      <c r="D163" s="892" t="s">
        <v>1278</v>
      </c>
      <c r="E163" s="887" t="s">
        <v>1279</v>
      </c>
      <c r="F163" s="894">
        <v>315</v>
      </c>
      <c r="G163" s="897">
        <v>315</v>
      </c>
      <c r="H163" s="895"/>
      <c r="I163" s="898">
        <f t="shared" si="1"/>
        <v>12435.749999999989</v>
      </c>
      <c r="J163" s="423"/>
      <c r="K163" s="896">
        <f t="shared" si="0"/>
        <v>315</v>
      </c>
      <c r="L163" s="926">
        <v>0</v>
      </c>
      <c r="M163" s="902"/>
      <c r="N163" s="927"/>
      <c r="O163" s="926"/>
      <c r="P163" s="926"/>
      <c r="Q163" s="926"/>
      <c r="R163" s="926"/>
      <c r="S163" s="926"/>
      <c r="T163" s="926"/>
      <c r="U163" s="926"/>
      <c r="V163" s="926"/>
      <c r="W163" s="926"/>
      <c r="X163" s="926"/>
      <c r="Y163" s="927"/>
      <c r="Z163" s="927"/>
      <c r="AA163" s="927"/>
      <c r="AB163" s="927"/>
      <c r="AC163" s="927">
        <v>315</v>
      </c>
      <c r="AD163" s="927"/>
      <c r="AE163" s="927"/>
      <c r="AF163" s="928"/>
      <c r="AG163" s="928"/>
      <c r="AH163" s="926"/>
      <c r="AI163" s="926"/>
      <c r="AJ163" s="926"/>
      <c r="AK163" s="929"/>
      <c r="AL163" s="929"/>
      <c r="AM163" s="929"/>
      <c r="AN163" s="929"/>
      <c r="AO163" s="929"/>
      <c r="AP163" s="930"/>
      <c r="AQ163" s="930"/>
      <c r="AR163" s="930"/>
      <c r="AS163" s="930"/>
      <c r="AT163" s="930"/>
      <c r="AU163" s="930"/>
      <c r="AV163" s="930"/>
      <c r="AW163" s="929"/>
      <c r="AX163" s="931"/>
      <c r="AY163" s="932"/>
    </row>
    <row r="164" spans="2:51" s="160" customFormat="1" ht="15" customHeight="1" x14ac:dyDescent="0.3">
      <c r="B164" s="890">
        <v>46069</v>
      </c>
      <c r="C164" s="891">
        <v>245719348</v>
      </c>
      <c r="D164" s="892" t="s">
        <v>1282</v>
      </c>
      <c r="E164" s="887" t="s">
        <v>1283</v>
      </c>
      <c r="F164" s="894">
        <v>25.43</v>
      </c>
      <c r="G164" s="897">
        <v>25.43</v>
      </c>
      <c r="H164" s="895"/>
      <c r="I164" s="898">
        <f t="shared" si="1"/>
        <v>12410.319999999989</v>
      </c>
      <c r="J164" s="423"/>
      <c r="K164" s="896">
        <f t="shared" si="0"/>
        <v>25.43</v>
      </c>
      <c r="L164" s="926">
        <v>4.24</v>
      </c>
      <c r="M164" s="902"/>
      <c r="N164" s="927"/>
      <c r="O164" s="926"/>
      <c r="P164" s="926"/>
      <c r="Q164" s="926"/>
      <c r="R164" s="926"/>
      <c r="S164" s="926"/>
      <c r="T164" s="926"/>
      <c r="U164" s="926"/>
      <c r="V164" s="926"/>
      <c r="W164" s="926"/>
      <c r="X164" s="926"/>
      <c r="Y164" s="927"/>
      <c r="Z164" s="927"/>
      <c r="AA164" s="927"/>
      <c r="AB164" s="927"/>
      <c r="AC164" s="927"/>
      <c r="AD164" s="927"/>
      <c r="AE164" s="927"/>
      <c r="AF164" s="928"/>
      <c r="AG164" s="928"/>
      <c r="AH164" s="926"/>
      <c r="AI164" s="926"/>
      <c r="AJ164" s="926"/>
      <c r="AK164" s="929"/>
      <c r="AL164" s="929"/>
      <c r="AM164" s="929"/>
      <c r="AN164" s="929"/>
      <c r="AO164" s="929"/>
      <c r="AP164" s="930"/>
      <c r="AQ164" s="930"/>
      <c r="AR164" s="930"/>
      <c r="AS164" s="930"/>
      <c r="AT164" s="930"/>
      <c r="AU164" s="930"/>
      <c r="AV164" s="930"/>
      <c r="AW164" s="929"/>
      <c r="AX164" s="931"/>
      <c r="AY164" s="932">
        <v>21.19</v>
      </c>
    </row>
    <row r="165" spans="2:51" s="160" customFormat="1" ht="15" customHeight="1" x14ac:dyDescent="0.3">
      <c r="B165" s="890">
        <v>46080</v>
      </c>
      <c r="C165" s="891">
        <v>0</v>
      </c>
      <c r="D165" s="892" t="s">
        <v>1072</v>
      </c>
      <c r="E165" s="887" t="s">
        <v>1284</v>
      </c>
      <c r="F165" s="894">
        <v>4.25</v>
      </c>
      <c r="G165" s="897">
        <v>4.25</v>
      </c>
      <c r="H165" s="895"/>
      <c r="I165" s="898">
        <f t="shared" si="1"/>
        <v>12406.069999999989</v>
      </c>
      <c r="J165" s="423"/>
      <c r="K165" s="896">
        <f t="shared" si="0"/>
        <v>4.25</v>
      </c>
      <c r="L165" s="926">
        <v>0</v>
      </c>
      <c r="M165" s="902"/>
      <c r="N165" s="927"/>
      <c r="O165" s="926"/>
      <c r="P165" s="926"/>
      <c r="Q165" s="926"/>
      <c r="R165" s="926"/>
      <c r="S165" s="926"/>
      <c r="T165" s="926">
        <v>4.25</v>
      </c>
      <c r="U165" s="926"/>
      <c r="V165" s="926"/>
      <c r="W165" s="926"/>
      <c r="X165" s="926"/>
      <c r="Y165" s="927"/>
      <c r="Z165" s="927"/>
      <c r="AA165" s="927"/>
      <c r="AB165" s="927"/>
      <c r="AC165" s="927"/>
      <c r="AD165" s="927"/>
      <c r="AE165" s="927"/>
      <c r="AF165" s="928"/>
      <c r="AG165" s="928"/>
      <c r="AH165" s="926"/>
      <c r="AI165" s="926"/>
      <c r="AJ165" s="926"/>
      <c r="AK165" s="929"/>
      <c r="AL165" s="929"/>
      <c r="AM165" s="929"/>
      <c r="AN165" s="929"/>
      <c r="AO165" s="929"/>
      <c r="AP165" s="930"/>
      <c r="AQ165" s="930"/>
      <c r="AR165" s="930"/>
      <c r="AS165" s="930"/>
      <c r="AT165" s="930"/>
      <c r="AU165" s="930"/>
      <c r="AV165" s="930"/>
      <c r="AW165" s="929"/>
      <c r="AX165" s="931"/>
      <c r="AY165" s="932"/>
    </row>
    <row r="166" spans="2:51" s="160" customFormat="1" ht="15" customHeight="1" x14ac:dyDescent="0.3">
      <c r="B166" s="890">
        <v>46086</v>
      </c>
      <c r="C166" s="891">
        <v>0</v>
      </c>
      <c r="D166" s="892" t="s">
        <v>948</v>
      </c>
      <c r="E166" s="887" t="s">
        <v>1308</v>
      </c>
      <c r="F166" s="894"/>
      <c r="G166" s="895"/>
      <c r="H166" s="897">
        <v>10000</v>
      </c>
      <c r="I166" s="898">
        <f t="shared" si="1"/>
        <v>22406.069999999989</v>
      </c>
      <c r="J166" s="423"/>
      <c r="K166" s="896"/>
      <c r="L166" s="926"/>
      <c r="M166" s="902"/>
      <c r="N166" s="927"/>
      <c r="O166" s="926"/>
      <c r="P166" s="926"/>
      <c r="Q166" s="926"/>
      <c r="R166" s="926"/>
      <c r="S166" s="926"/>
      <c r="T166" s="926"/>
      <c r="U166" s="926"/>
      <c r="V166" s="926"/>
      <c r="W166" s="926"/>
      <c r="X166" s="926"/>
      <c r="Y166" s="927"/>
      <c r="Z166" s="927"/>
      <c r="AA166" s="927"/>
      <c r="AB166" s="927"/>
      <c r="AC166" s="927"/>
      <c r="AD166" s="927"/>
      <c r="AE166" s="927"/>
      <c r="AF166" s="928"/>
      <c r="AG166" s="928"/>
      <c r="AH166" s="926"/>
      <c r="AI166" s="926"/>
      <c r="AJ166" s="926"/>
      <c r="AK166" s="929"/>
      <c r="AL166" s="929"/>
      <c r="AM166" s="929"/>
      <c r="AN166" s="929"/>
      <c r="AO166" s="929"/>
      <c r="AP166" s="930"/>
      <c r="AQ166" s="930"/>
      <c r="AR166" s="930"/>
      <c r="AS166" s="930"/>
      <c r="AT166" s="930"/>
      <c r="AU166" s="930"/>
      <c r="AV166" s="930"/>
      <c r="AW166" s="929"/>
      <c r="AX166" s="931"/>
      <c r="AY166" s="932"/>
    </row>
    <row r="167" spans="2:51" s="160" customFormat="1" ht="15" customHeight="1" x14ac:dyDescent="0.3">
      <c r="B167" s="890">
        <v>46086</v>
      </c>
      <c r="C167" s="891">
        <v>0</v>
      </c>
      <c r="D167" s="892" t="s">
        <v>1286</v>
      </c>
      <c r="E167" s="887" t="s">
        <v>1287</v>
      </c>
      <c r="F167" s="894">
        <v>1489.95</v>
      </c>
      <c r="G167" s="895"/>
      <c r="H167" s="895"/>
      <c r="I167" s="898">
        <f t="shared" si="1"/>
        <v>22406.069999999989</v>
      </c>
      <c r="J167" s="423"/>
      <c r="K167" s="896">
        <f t="shared" si="0"/>
        <v>1489.95</v>
      </c>
      <c r="L167" s="926">
        <v>0</v>
      </c>
      <c r="M167" s="902"/>
      <c r="N167" s="927"/>
      <c r="O167" s="926">
        <v>1267.95</v>
      </c>
      <c r="P167" s="926"/>
      <c r="Q167" s="926"/>
      <c r="R167" s="926"/>
      <c r="S167" s="926"/>
      <c r="T167" s="926"/>
      <c r="U167" s="926"/>
      <c r="V167" s="926"/>
      <c r="W167" s="926"/>
      <c r="X167" s="926"/>
      <c r="Y167" s="927"/>
      <c r="Z167" s="927"/>
      <c r="AA167" s="927"/>
      <c r="AB167" s="927"/>
      <c r="AC167" s="927"/>
      <c r="AD167" s="927"/>
      <c r="AE167" s="927"/>
      <c r="AF167" s="928"/>
      <c r="AG167" s="928"/>
      <c r="AH167" s="926"/>
      <c r="AI167" s="926"/>
      <c r="AJ167" s="926"/>
      <c r="AK167" s="929"/>
      <c r="AL167" s="929"/>
      <c r="AM167" s="929"/>
      <c r="AN167" s="929">
        <v>222</v>
      </c>
      <c r="AO167" s="929"/>
      <c r="AP167" s="930"/>
      <c r="AQ167" s="930"/>
      <c r="AR167" s="930"/>
      <c r="AS167" s="930"/>
      <c r="AT167" s="930"/>
      <c r="AU167" s="930"/>
      <c r="AV167" s="930"/>
      <c r="AW167" s="929"/>
      <c r="AX167" s="931"/>
      <c r="AY167" s="932"/>
    </row>
    <row r="168" spans="2:51" s="160" customFormat="1" ht="15" customHeight="1" x14ac:dyDescent="0.3">
      <c r="B168" s="890">
        <v>46086</v>
      </c>
      <c r="C168" s="891">
        <v>0</v>
      </c>
      <c r="D168" s="892" t="s">
        <v>925</v>
      </c>
      <c r="E168" s="887" t="s">
        <v>1287</v>
      </c>
      <c r="F168" s="894">
        <v>46.52</v>
      </c>
      <c r="G168" s="897">
        <f>SUM(F167:F168)</f>
        <v>1536.47</v>
      </c>
      <c r="H168" s="895"/>
      <c r="I168" s="898">
        <f t="shared" si="1"/>
        <v>20869.599999999988</v>
      </c>
      <c r="J168" s="423"/>
      <c r="K168" s="896">
        <f t="shared" si="0"/>
        <v>46.52</v>
      </c>
      <c r="L168" s="926">
        <v>1.92</v>
      </c>
      <c r="M168" s="902"/>
      <c r="N168" s="927"/>
      <c r="O168" s="926"/>
      <c r="P168" s="926"/>
      <c r="Q168" s="926"/>
      <c r="R168" s="926">
        <v>44.6</v>
      </c>
      <c r="S168" s="926"/>
      <c r="T168" s="926"/>
      <c r="U168" s="926"/>
      <c r="V168" s="926"/>
      <c r="W168" s="926"/>
      <c r="X168" s="926"/>
      <c r="Y168" s="927"/>
      <c r="Z168" s="927"/>
      <c r="AA168" s="927"/>
      <c r="AB168" s="927"/>
      <c r="AC168" s="927"/>
      <c r="AD168" s="927"/>
      <c r="AE168" s="927"/>
      <c r="AF168" s="928"/>
      <c r="AG168" s="928"/>
      <c r="AH168" s="926"/>
      <c r="AI168" s="926"/>
      <c r="AJ168" s="926"/>
      <c r="AK168" s="929"/>
      <c r="AL168" s="929"/>
      <c r="AM168" s="929"/>
      <c r="AN168" s="929"/>
      <c r="AO168" s="929"/>
      <c r="AP168" s="930"/>
      <c r="AQ168" s="930"/>
      <c r="AR168" s="930"/>
      <c r="AS168" s="930"/>
      <c r="AT168" s="930"/>
      <c r="AU168" s="930"/>
      <c r="AV168" s="930"/>
      <c r="AW168" s="929"/>
      <c r="AX168" s="931"/>
      <c r="AY168" s="932"/>
    </row>
    <row r="169" spans="2:51" s="160" customFormat="1" ht="15" customHeight="1" x14ac:dyDescent="0.3">
      <c r="B169" s="890">
        <v>46086</v>
      </c>
      <c r="C169" s="891">
        <v>0</v>
      </c>
      <c r="D169" s="892" t="s">
        <v>1288</v>
      </c>
      <c r="E169" s="887" t="s">
        <v>1289</v>
      </c>
      <c r="F169" s="894">
        <v>153.87</v>
      </c>
      <c r="G169" s="897">
        <v>153.87</v>
      </c>
      <c r="H169" s="895"/>
      <c r="I169" s="898">
        <f t="shared" si="1"/>
        <v>20715.729999999989</v>
      </c>
      <c r="J169" s="423"/>
      <c r="K169" s="896">
        <f t="shared" si="0"/>
        <v>153.87</v>
      </c>
      <c r="L169" s="926">
        <v>0</v>
      </c>
      <c r="M169" s="902"/>
      <c r="N169" s="927"/>
      <c r="O169" s="926"/>
      <c r="P169" s="926"/>
      <c r="Q169" s="926"/>
      <c r="R169" s="926"/>
      <c r="S169" s="926"/>
      <c r="T169" s="926"/>
      <c r="U169" s="926"/>
      <c r="V169" s="926"/>
      <c r="W169" s="926"/>
      <c r="X169" s="926"/>
      <c r="Y169" s="927"/>
      <c r="Z169" s="927"/>
      <c r="AA169" s="927"/>
      <c r="AB169" s="927"/>
      <c r="AC169" s="927"/>
      <c r="AD169" s="927"/>
      <c r="AE169" s="927"/>
      <c r="AF169" s="928"/>
      <c r="AG169" s="928"/>
      <c r="AH169" s="926"/>
      <c r="AI169" s="926"/>
      <c r="AJ169" s="926"/>
      <c r="AK169" s="929"/>
      <c r="AL169" s="929"/>
      <c r="AM169" s="929"/>
      <c r="AN169" s="929"/>
      <c r="AO169" s="929">
        <v>153.87</v>
      </c>
      <c r="AP169" s="930"/>
      <c r="AQ169" s="930"/>
      <c r="AR169" s="930"/>
      <c r="AS169" s="930"/>
      <c r="AT169" s="930"/>
      <c r="AU169" s="930"/>
      <c r="AV169" s="930"/>
      <c r="AW169" s="929"/>
      <c r="AX169" s="931"/>
      <c r="AY169" s="932"/>
    </row>
    <row r="170" spans="2:51" s="160" customFormat="1" ht="15" customHeight="1" x14ac:dyDescent="0.3">
      <c r="B170" s="890">
        <v>46086</v>
      </c>
      <c r="C170" s="891">
        <v>0</v>
      </c>
      <c r="D170" s="892" t="s">
        <v>1291</v>
      </c>
      <c r="E170" s="887" t="s">
        <v>1290</v>
      </c>
      <c r="F170" s="894">
        <v>425.29</v>
      </c>
      <c r="G170" s="897">
        <v>425.29</v>
      </c>
      <c r="H170" s="895"/>
      <c r="I170" s="898">
        <f t="shared" si="1"/>
        <v>20290.439999999988</v>
      </c>
      <c r="J170" s="423"/>
      <c r="K170" s="896">
        <f>SUM(L170:AY170)</f>
        <v>425.28999999999996</v>
      </c>
      <c r="L170" s="926">
        <v>0</v>
      </c>
      <c r="M170" s="902"/>
      <c r="N170" s="927"/>
      <c r="O170" s="926">
        <v>183.04</v>
      </c>
      <c r="P170" s="926"/>
      <c r="Q170" s="926">
        <v>203.85</v>
      </c>
      <c r="R170" s="926"/>
      <c r="S170" s="926"/>
      <c r="T170" s="926"/>
      <c r="U170" s="926"/>
      <c r="V170" s="926"/>
      <c r="W170" s="926"/>
      <c r="X170" s="926"/>
      <c r="Y170" s="927"/>
      <c r="Z170" s="927"/>
      <c r="AA170" s="927"/>
      <c r="AB170" s="927"/>
      <c r="AC170" s="927"/>
      <c r="AD170" s="927"/>
      <c r="AE170" s="927"/>
      <c r="AF170" s="928"/>
      <c r="AG170" s="928"/>
      <c r="AH170" s="926"/>
      <c r="AI170" s="926"/>
      <c r="AJ170" s="926"/>
      <c r="AK170" s="929"/>
      <c r="AL170" s="929"/>
      <c r="AM170" s="929"/>
      <c r="AN170" s="929"/>
      <c r="AO170" s="929">
        <v>38.4</v>
      </c>
      <c r="AP170" s="930"/>
      <c r="AQ170" s="930"/>
      <c r="AR170" s="930"/>
      <c r="AS170" s="930"/>
      <c r="AT170" s="930"/>
      <c r="AU170" s="930"/>
      <c r="AV170" s="930"/>
      <c r="AW170" s="929"/>
      <c r="AX170" s="931"/>
      <c r="AY170" s="932"/>
    </row>
    <row r="171" spans="2:51" s="160" customFormat="1" ht="15" customHeight="1" x14ac:dyDescent="0.3">
      <c r="B171" s="890">
        <v>46086</v>
      </c>
      <c r="C171" s="891">
        <v>0</v>
      </c>
      <c r="D171" s="892" t="s">
        <v>1292</v>
      </c>
      <c r="E171" s="887" t="s">
        <v>1293</v>
      </c>
      <c r="F171" s="894">
        <v>499.06</v>
      </c>
      <c r="G171" s="897">
        <v>499.06</v>
      </c>
      <c r="H171" s="895"/>
      <c r="I171" s="898">
        <f t="shared" si="1"/>
        <v>19791.379999999986</v>
      </c>
      <c r="J171" s="423"/>
      <c r="K171" s="896">
        <f t="shared" si="0"/>
        <v>499.06</v>
      </c>
      <c r="L171" s="926">
        <v>0</v>
      </c>
      <c r="M171" s="902"/>
      <c r="N171" s="927"/>
      <c r="O171" s="926">
        <v>103.01</v>
      </c>
      <c r="P171" s="926">
        <v>396.05</v>
      </c>
      <c r="Q171" s="926"/>
      <c r="R171" s="926"/>
      <c r="S171" s="926"/>
      <c r="T171" s="926"/>
      <c r="U171" s="926"/>
      <c r="V171" s="926"/>
      <c r="W171" s="926"/>
      <c r="X171" s="926"/>
      <c r="Y171" s="927"/>
      <c r="Z171" s="927"/>
      <c r="AA171" s="927"/>
      <c r="AB171" s="927"/>
      <c r="AC171" s="927"/>
      <c r="AD171" s="927"/>
      <c r="AE171" s="927"/>
      <c r="AF171" s="928"/>
      <c r="AG171" s="928"/>
      <c r="AH171" s="926"/>
      <c r="AI171" s="926"/>
      <c r="AJ171" s="926"/>
      <c r="AK171" s="929"/>
      <c r="AL171" s="929"/>
      <c r="AM171" s="929"/>
      <c r="AN171" s="929"/>
      <c r="AO171" s="929"/>
      <c r="AP171" s="930"/>
      <c r="AQ171" s="930"/>
      <c r="AR171" s="930"/>
      <c r="AS171" s="930"/>
      <c r="AT171" s="930"/>
      <c r="AU171" s="930"/>
      <c r="AV171" s="930"/>
      <c r="AW171" s="929"/>
      <c r="AX171" s="931"/>
      <c r="AY171" s="932"/>
    </row>
    <row r="172" spans="2:51" s="160" customFormat="1" ht="15" customHeight="1" x14ac:dyDescent="0.3">
      <c r="B172" s="890">
        <v>46086</v>
      </c>
      <c r="C172" s="891">
        <v>0</v>
      </c>
      <c r="D172" s="892" t="s">
        <v>1276</v>
      </c>
      <c r="E172" s="887" t="s">
        <v>1294</v>
      </c>
      <c r="F172" s="894">
        <v>560.74</v>
      </c>
      <c r="G172" s="897">
        <v>560.74</v>
      </c>
      <c r="H172" s="895"/>
      <c r="I172" s="898">
        <f t="shared" si="1"/>
        <v>19230.639999999985</v>
      </c>
      <c r="J172" s="423"/>
      <c r="K172" s="896">
        <f t="shared" si="0"/>
        <v>560.74</v>
      </c>
      <c r="L172" s="926">
        <v>0</v>
      </c>
      <c r="M172" s="902">
        <v>560.74</v>
      </c>
      <c r="N172" s="927"/>
      <c r="O172" s="926"/>
      <c r="P172" s="926"/>
      <c r="Q172" s="926"/>
      <c r="R172" s="926"/>
      <c r="S172" s="926"/>
      <c r="T172" s="926"/>
      <c r="U172" s="926"/>
      <c r="V172" s="926"/>
      <c r="W172" s="926"/>
      <c r="X172" s="926"/>
      <c r="Y172" s="927"/>
      <c r="Z172" s="927"/>
      <c r="AA172" s="927"/>
      <c r="AB172" s="927"/>
      <c r="AC172" s="927"/>
      <c r="AD172" s="927"/>
      <c r="AE172" s="927"/>
      <c r="AF172" s="928"/>
      <c r="AG172" s="928"/>
      <c r="AH172" s="926"/>
      <c r="AI172" s="926"/>
      <c r="AJ172" s="926"/>
      <c r="AK172" s="929"/>
      <c r="AL172" s="929"/>
      <c r="AM172" s="929"/>
      <c r="AN172" s="929"/>
      <c r="AO172" s="929"/>
      <c r="AP172" s="930"/>
      <c r="AQ172" s="930"/>
      <c r="AR172" s="930"/>
      <c r="AS172" s="930"/>
      <c r="AT172" s="930"/>
      <c r="AU172" s="930"/>
      <c r="AV172" s="930"/>
      <c r="AW172" s="929"/>
      <c r="AX172" s="931"/>
      <c r="AY172" s="932"/>
    </row>
    <row r="173" spans="2:51" s="160" customFormat="1" ht="15" customHeight="1" x14ac:dyDescent="0.3">
      <c r="B173" s="890">
        <v>46086</v>
      </c>
      <c r="C173" s="891">
        <v>297094655</v>
      </c>
      <c r="D173" s="892" t="s">
        <v>1295</v>
      </c>
      <c r="E173" s="887" t="s">
        <v>1296</v>
      </c>
      <c r="F173" s="894">
        <v>3252.04</v>
      </c>
      <c r="G173" s="897">
        <v>3252.04</v>
      </c>
      <c r="H173" s="895"/>
      <c r="I173" s="898">
        <f t="shared" si="1"/>
        <v>15978.599999999984</v>
      </c>
      <c r="J173" s="423"/>
      <c r="K173" s="896">
        <f t="shared" si="0"/>
        <v>3252.04</v>
      </c>
      <c r="L173" s="926">
        <v>542.01</v>
      </c>
      <c r="M173" s="902"/>
      <c r="N173" s="927"/>
      <c r="O173" s="926"/>
      <c r="P173" s="926"/>
      <c r="Q173" s="926"/>
      <c r="R173" s="926"/>
      <c r="S173" s="926"/>
      <c r="T173" s="926"/>
      <c r="U173" s="926"/>
      <c r="V173" s="926"/>
      <c r="W173" s="926"/>
      <c r="X173" s="926"/>
      <c r="Y173" s="927"/>
      <c r="Z173" s="927"/>
      <c r="AA173" s="927"/>
      <c r="AB173" s="927"/>
      <c r="AC173" s="927"/>
      <c r="AD173" s="927"/>
      <c r="AE173" s="927"/>
      <c r="AF173" s="928"/>
      <c r="AG173" s="928">
        <v>2710.03</v>
      </c>
      <c r="AH173" s="926"/>
      <c r="AI173" s="926"/>
      <c r="AJ173" s="926"/>
      <c r="AK173" s="929"/>
      <c r="AL173" s="929"/>
      <c r="AM173" s="929"/>
      <c r="AN173" s="929"/>
      <c r="AO173" s="929"/>
      <c r="AP173" s="930"/>
      <c r="AQ173" s="930"/>
      <c r="AR173" s="930"/>
      <c r="AS173" s="930"/>
      <c r="AT173" s="930"/>
      <c r="AU173" s="930"/>
      <c r="AV173" s="930"/>
      <c r="AW173" s="929"/>
      <c r="AX173" s="931"/>
      <c r="AY173" s="932"/>
    </row>
    <row r="174" spans="2:51" s="160" customFormat="1" ht="15" customHeight="1" x14ac:dyDescent="0.3">
      <c r="B174" s="890">
        <v>46086</v>
      </c>
      <c r="C174" s="891">
        <v>634389517</v>
      </c>
      <c r="D174" s="892" t="s">
        <v>1297</v>
      </c>
      <c r="E174" s="887" t="s">
        <v>1298</v>
      </c>
      <c r="F174" s="894">
        <v>7970.04</v>
      </c>
      <c r="G174" s="897">
        <v>7970.04</v>
      </c>
      <c r="H174" s="895"/>
      <c r="I174" s="898">
        <f t="shared" si="1"/>
        <v>8008.559999999984</v>
      </c>
      <c r="J174" s="423"/>
      <c r="K174" s="896">
        <f t="shared" si="0"/>
        <v>7970.04</v>
      </c>
      <c r="L174" s="926">
        <v>1328.34</v>
      </c>
      <c r="M174" s="902"/>
      <c r="N174" s="927"/>
      <c r="O174" s="926"/>
      <c r="P174" s="926"/>
      <c r="Q174" s="926"/>
      <c r="R174" s="926"/>
      <c r="S174" s="926"/>
      <c r="T174" s="926"/>
      <c r="U174" s="926"/>
      <c r="V174" s="926"/>
      <c r="W174" s="926"/>
      <c r="X174" s="926"/>
      <c r="Y174" s="927"/>
      <c r="Z174" s="927"/>
      <c r="AA174" s="927"/>
      <c r="AB174" s="927"/>
      <c r="AC174" s="927"/>
      <c r="AD174" s="927"/>
      <c r="AE174" s="927"/>
      <c r="AF174" s="928"/>
      <c r="AG174" s="928"/>
      <c r="AH174" s="926"/>
      <c r="AI174" s="926"/>
      <c r="AJ174" s="926"/>
      <c r="AK174" s="929">
        <v>6641.7</v>
      </c>
      <c r="AL174" s="929"/>
      <c r="AM174" s="929"/>
      <c r="AN174" s="929"/>
      <c r="AO174" s="929"/>
      <c r="AP174" s="930"/>
      <c r="AQ174" s="930"/>
      <c r="AR174" s="930"/>
      <c r="AS174" s="930"/>
      <c r="AT174" s="930"/>
      <c r="AU174" s="930"/>
      <c r="AV174" s="930"/>
      <c r="AW174" s="929"/>
      <c r="AX174" s="931"/>
      <c r="AY174" s="932"/>
    </row>
    <row r="175" spans="2:51" s="160" customFormat="1" ht="15" customHeight="1" x14ac:dyDescent="0.3">
      <c r="B175" s="890">
        <v>46086</v>
      </c>
      <c r="C175" s="891">
        <v>0</v>
      </c>
      <c r="D175" s="892" t="s">
        <v>1311</v>
      </c>
      <c r="E175" s="887" t="s">
        <v>1310</v>
      </c>
      <c r="F175" s="894">
        <v>875</v>
      </c>
      <c r="G175" s="897">
        <v>875</v>
      </c>
      <c r="H175" s="895"/>
      <c r="I175" s="898">
        <f t="shared" si="1"/>
        <v>7133.559999999984</v>
      </c>
      <c r="J175" s="423"/>
      <c r="K175" s="896">
        <f t="shared" si="0"/>
        <v>875</v>
      </c>
      <c r="L175" s="926">
        <v>0</v>
      </c>
      <c r="M175" s="902">
        <v>875</v>
      </c>
      <c r="N175" s="927"/>
      <c r="O175" s="926"/>
      <c r="P175" s="926"/>
      <c r="Q175" s="926"/>
      <c r="R175" s="926"/>
      <c r="S175" s="926"/>
      <c r="T175" s="926"/>
      <c r="U175" s="926"/>
      <c r="V175" s="926"/>
      <c r="W175" s="926"/>
      <c r="X175" s="926"/>
      <c r="Y175" s="927"/>
      <c r="Z175" s="927"/>
      <c r="AA175" s="927"/>
      <c r="AB175" s="927"/>
      <c r="AC175" s="927"/>
      <c r="AD175" s="927"/>
      <c r="AE175" s="927"/>
      <c r="AF175" s="928"/>
      <c r="AG175" s="928"/>
      <c r="AH175" s="926"/>
      <c r="AI175" s="926"/>
      <c r="AJ175" s="926"/>
      <c r="AK175" s="929"/>
      <c r="AL175" s="929"/>
      <c r="AM175" s="929"/>
      <c r="AN175" s="929"/>
      <c r="AO175" s="929"/>
      <c r="AP175" s="930"/>
      <c r="AQ175" s="930"/>
      <c r="AR175" s="930"/>
      <c r="AS175" s="930"/>
      <c r="AT175" s="930"/>
      <c r="AU175" s="930"/>
      <c r="AV175" s="930"/>
      <c r="AW175" s="929"/>
      <c r="AX175" s="931"/>
      <c r="AY175" s="932"/>
    </row>
    <row r="176" spans="2:51" s="160" customFormat="1" ht="15" customHeight="1" x14ac:dyDescent="0.3">
      <c r="B176" s="890">
        <v>46097</v>
      </c>
      <c r="C176" s="891">
        <v>245719348</v>
      </c>
      <c r="D176" s="892" t="s">
        <v>1309</v>
      </c>
      <c r="E176" s="887" t="s">
        <v>1312</v>
      </c>
      <c r="F176" s="894">
        <v>25.43</v>
      </c>
      <c r="G176" s="897">
        <v>25.43</v>
      </c>
      <c r="H176" s="895"/>
      <c r="I176" s="898">
        <f t="shared" si="1"/>
        <v>7108.1299999999837</v>
      </c>
      <c r="J176" s="423"/>
      <c r="K176" s="896">
        <f t="shared" si="0"/>
        <v>25.43</v>
      </c>
      <c r="L176" s="926">
        <v>4.24</v>
      </c>
      <c r="M176" s="902"/>
      <c r="N176" s="927"/>
      <c r="O176" s="926"/>
      <c r="P176" s="926"/>
      <c r="Q176" s="926"/>
      <c r="R176" s="926"/>
      <c r="S176" s="926"/>
      <c r="T176" s="926"/>
      <c r="U176" s="926"/>
      <c r="V176" s="926"/>
      <c r="W176" s="926"/>
      <c r="X176" s="926"/>
      <c r="Y176" s="927"/>
      <c r="Z176" s="927"/>
      <c r="AA176" s="927"/>
      <c r="AB176" s="927"/>
      <c r="AC176" s="927"/>
      <c r="AD176" s="927"/>
      <c r="AE176" s="927"/>
      <c r="AF176" s="928"/>
      <c r="AG176" s="928"/>
      <c r="AH176" s="926"/>
      <c r="AI176" s="926"/>
      <c r="AJ176" s="926"/>
      <c r="AK176" s="929"/>
      <c r="AL176" s="929"/>
      <c r="AM176" s="929"/>
      <c r="AN176" s="929"/>
      <c r="AO176" s="929"/>
      <c r="AP176" s="930"/>
      <c r="AQ176" s="930"/>
      <c r="AR176" s="930"/>
      <c r="AS176" s="930"/>
      <c r="AT176" s="930"/>
      <c r="AU176" s="930"/>
      <c r="AV176" s="930"/>
      <c r="AW176" s="929"/>
      <c r="AX176" s="931"/>
      <c r="AY176" s="932">
        <v>21.19</v>
      </c>
    </row>
    <row r="177" spans="1:55" s="160" customFormat="1" ht="15" customHeight="1" x14ac:dyDescent="0.3">
      <c r="B177" s="890">
        <v>46108</v>
      </c>
      <c r="C177" s="891">
        <v>0</v>
      </c>
      <c r="D177" s="892" t="s">
        <v>1072</v>
      </c>
      <c r="E177" s="887" t="s">
        <v>1320</v>
      </c>
      <c r="F177" s="894">
        <v>4.67</v>
      </c>
      <c r="G177" s="897">
        <v>4.67</v>
      </c>
      <c r="H177" s="895"/>
      <c r="I177" s="978">
        <f t="shared" si="1"/>
        <v>7103.4599999999837</v>
      </c>
      <c r="J177" s="423"/>
      <c r="K177" s="896">
        <f t="shared" si="0"/>
        <v>4.67</v>
      </c>
      <c r="L177" s="926">
        <v>0</v>
      </c>
      <c r="M177" s="902"/>
      <c r="N177" s="927"/>
      <c r="O177" s="926"/>
      <c r="P177" s="926"/>
      <c r="Q177" s="926"/>
      <c r="R177" s="926"/>
      <c r="S177" s="926"/>
      <c r="T177" s="926">
        <v>4.67</v>
      </c>
      <c r="U177" s="926"/>
      <c r="V177" s="926"/>
      <c r="W177" s="926"/>
      <c r="X177" s="926"/>
      <c r="Y177" s="927"/>
      <c r="Z177" s="927"/>
      <c r="AA177" s="927"/>
      <c r="AB177" s="927"/>
      <c r="AC177" s="927"/>
      <c r="AD177" s="927"/>
      <c r="AE177" s="927"/>
      <c r="AF177" s="928"/>
      <c r="AG177" s="928"/>
      <c r="AH177" s="926"/>
      <c r="AI177" s="926"/>
      <c r="AJ177" s="926"/>
      <c r="AK177" s="929"/>
      <c r="AL177" s="929"/>
      <c r="AM177" s="929"/>
      <c r="AN177" s="929"/>
      <c r="AO177" s="929"/>
      <c r="AP177" s="930"/>
      <c r="AQ177" s="930"/>
      <c r="AR177" s="930"/>
      <c r="AS177" s="930"/>
      <c r="AT177" s="930"/>
      <c r="AU177" s="930"/>
      <c r="AV177" s="930"/>
      <c r="AW177" s="929"/>
      <c r="AX177" s="931"/>
      <c r="AY177" s="932"/>
    </row>
    <row r="178" spans="1:55" s="160" customFormat="1" ht="15" customHeight="1" x14ac:dyDescent="0.3">
      <c r="B178" s="890">
        <v>46112</v>
      </c>
      <c r="C178" s="891"/>
      <c r="D178" s="892" t="s">
        <v>1326</v>
      </c>
      <c r="E178" s="887" t="s">
        <v>1325</v>
      </c>
      <c r="F178" s="894">
        <v>-680</v>
      </c>
      <c r="G178" s="895">
        <v>-680</v>
      </c>
      <c r="H178" s="895"/>
      <c r="I178" s="977">
        <f t="shared" si="1"/>
        <v>7783.4599999999837</v>
      </c>
      <c r="J178" s="423"/>
      <c r="K178" s="896">
        <f t="shared" si="0"/>
        <v>-680</v>
      </c>
      <c r="L178" s="926"/>
      <c r="M178" s="902"/>
      <c r="N178" s="927"/>
      <c r="O178" s="926"/>
      <c r="P178" s="926"/>
      <c r="Q178" s="926"/>
      <c r="R178" s="926"/>
      <c r="S178" s="926"/>
      <c r="T178" s="926"/>
      <c r="U178" s="926"/>
      <c r="V178" s="926"/>
      <c r="W178" s="926"/>
      <c r="X178" s="926">
        <v>-680</v>
      </c>
      <c r="Y178" s="927"/>
      <c r="Z178" s="927"/>
      <c r="AA178" s="927"/>
      <c r="AB178" s="927"/>
      <c r="AC178" s="927"/>
      <c r="AD178" s="927"/>
      <c r="AE178" s="927"/>
      <c r="AF178" s="928"/>
      <c r="AG178" s="928"/>
      <c r="AH178" s="926"/>
      <c r="AI178" s="926"/>
      <c r="AJ178" s="926"/>
      <c r="AK178" s="929"/>
      <c r="AL178" s="929"/>
      <c r="AM178" s="929"/>
      <c r="AN178" s="929"/>
      <c r="AO178" s="929"/>
      <c r="AP178" s="930"/>
      <c r="AQ178" s="930"/>
      <c r="AR178" s="930"/>
      <c r="AS178" s="930"/>
      <c r="AT178" s="930"/>
      <c r="AU178" s="930"/>
      <c r="AV178" s="930"/>
      <c r="AW178" s="929"/>
      <c r="AX178" s="931"/>
      <c r="AY178" s="932"/>
    </row>
    <row r="179" spans="1:55" s="160" customFormat="1" ht="15" customHeight="1" x14ac:dyDescent="0.3">
      <c r="B179" s="890">
        <v>46112</v>
      </c>
      <c r="C179" s="891"/>
      <c r="D179" s="892" t="s">
        <v>1327</v>
      </c>
      <c r="E179" s="887" t="s">
        <v>1328</v>
      </c>
      <c r="F179" s="894">
        <v>-6906.46</v>
      </c>
      <c r="G179" s="895">
        <v>-6906.46</v>
      </c>
      <c r="H179" s="895"/>
      <c r="I179" s="977">
        <f t="shared" si="1"/>
        <v>14689.919999999984</v>
      </c>
      <c r="J179" s="423"/>
      <c r="K179" s="896">
        <f t="shared" si="0"/>
        <v>-6906.46</v>
      </c>
      <c r="L179" s="926"/>
      <c r="M179" s="902"/>
      <c r="N179" s="927"/>
      <c r="O179" s="926"/>
      <c r="P179" s="926"/>
      <c r="Q179" s="926"/>
      <c r="R179" s="926"/>
      <c r="S179" s="926"/>
      <c r="T179" s="926"/>
      <c r="U179" s="926">
        <v>-2840</v>
      </c>
      <c r="V179" s="926">
        <v>-4066.46</v>
      </c>
      <c r="W179" s="926"/>
      <c r="X179" s="926"/>
      <c r="Y179" s="927"/>
      <c r="Z179" s="927"/>
      <c r="AA179" s="927"/>
      <c r="AB179" s="927"/>
      <c r="AC179" s="927"/>
      <c r="AD179" s="927"/>
      <c r="AE179" s="927"/>
      <c r="AF179" s="928"/>
      <c r="AG179" s="928"/>
      <c r="AH179" s="926"/>
      <c r="AI179" s="926"/>
      <c r="AJ179" s="926"/>
      <c r="AK179" s="929"/>
      <c r="AL179" s="929"/>
      <c r="AM179" s="929"/>
      <c r="AN179" s="929"/>
      <c r="AO179" s="929"/>
      <c r="AP179" s="930"/>
      <c r="AQ179" s="930"/>
      <c r="AR179" s="930"/>
      <c r="AS179" s="930"/>
      <c r="AT179" s="930"/>
      <c r="AU179" s="930"/>
      <c r="AV179" s="930"/>
      <c r="AW179" s="929"/>
      <c r="AX179" s="931"/>
      <c r="AY179" s="932"/>
    </row>
    <row r="180" spans="1:55" s="160" customFormat="1" ht="15" customHeight="1" x14ac:dyDescent="0.3">
      <c r="B180" s="890">
        <v>46112</v>
      </c>
      <c r="C180" s="891"/>
      <c r="D180" s="892" t="s">
        <v>1330</v>
      </c>
      <c r="E180" s="887" t="s">
        <v>1332</v>
      </c>
      <c r="F180" s="894">
        <v>680</v>
      </c>
      <c r="G180" s="895">
        <v>680</v>
      </c>
      <c r="H180" s="895"/>
      <c r="I180" s="977">
        <f t="shared" si="1"/>
        <v>14009.919999999984</v>
      </c>
      <c r="J180" s="423"/>
      <c r="K180" s="896">
        <f t="shared" si="0"/>
        <v>680</v>
      </c>
      <c r="L180" s="926"/>
      <c r="M180" s="902"/>
      <c r="N180" s="927"/>
      <c r="O180" s="926"/>
      <c r="P180" s="926"/>
      <c r="Q180" s="926"/>
      <c r="R180" s="926"/>
      <c r="S180" s="926"/>
      <c r="T180" s="926"/>
      <c r="U180" s="926"/>
      <c r="V180" s="926"/>
      <c r="W180" s="926"/>
      <c r="X180" s="926">
        <v>680</v>
      </c>
      <c r="Y180" s="927"/>
      <c r="Z180" s="927"/>
      <c r="AA180" s="927"/>
      <c r="AB180" s="927"/>
      <c r="AC180" s="927"/>
      <c r="AD180" s="927"/>
      <c r="AE180" s="927"/>
      <c r="AF180" s="928"/>
      <c r="AG180" s="928"/>
      <c r="AH180" s="926"/>
      <c r="AI180" s="926"/>
      <c r="AJ180" s="926"/>
      <c r="AK180" s="929"/>
      <c r="AL180" s="929"/>
      <c r="AM180" s="929"/>
      <c r="AN180" s="929"/>
      <c r="AO180" s="929"/>
      <c r="AP180" s="930"/>
      <c r="AQ180" s="930"/>
      <c r="AR180" s="930"/>
      <c r="AS180" s="930"/>
      <c r="AT180" s="930"/>
      <c r="AU180" s="930"/>
      <c r="AV180" s="930"/>
      <c r="AW180" s="929"/>
      <c r="AX180" s="931"/>
      <c r="AY180" s="932"/>
    </row>
    <row r="181" spans="1:55" s="160" customFormat="1" ht="15" customHeight="1" x14ac:dyDescent="0.3">
      <c r="B181" s="890" t="s">
        <v>1329</v>
      </c>
      <c r="C181" s="891"/>
      <c r="D181" s="892" t="s">
        <v>1331</v>
      </c>
      <c r="E181" s="887" t="s">
        <v>1333</v>
      </c>
      <c r="F181" s="894">
        <v>6906.46</v>
      </c>
      <c r="G181" s="895">
        <v>6906.46</v>
      </c>
      <c r="H181" s="895"/>
      <c r="I181" s="977">
        <f t="shared" si="1"/>
        <v>7103.4599999999837</v>
      </c>
      <c r="J181" s="423"/>
      <c r="K181" s="896">
        <f t="shared" si="0"/>
        <v>6906.46</v>
      </c>
      <c r="L181" s="926"/>
      <c r="M181" s="902"/>
      <c r="N181" s="927"/>
      <c r="O181" s="926"/>
      <c r="P181" s="926"/>
      <c r="Q181" s="926"/>
      <c r="R181" s="926"/>
      <c r="S181" s="926"/>
      <c r="T181" s="926"/>
      <c r="U181" s="926">
        <v>2840</v>
      </c>
      <c r="V181" s="926">
        <v>4066.46</v>
      </c>
      <c r="W181" s="926"/>
      <c r="X181" s="926"/>
      <c r="Y181" s="927"/>
      <c r="Z181" s="927"/>
      <c r="AA181" s="927"/>
      <c r="AB181" s="927"/>
      <c r="AC181" s="927"/>
      <c r="AD181" s="927"/>
      <c r="AE181" s="927"/>
      <c r="AF181" s="928"/>
      <c r="AG181" s="928"/>
      <c r="AH181" s="926"/>
      <c r="AI181" s="926"/>
      <c r="AJ181" s="926"/>
      <c r="AK181" s="929"/>
      <c r="AL181" s="929"/>
      <c r="AM181" s="929"/>
      <c r="AN181" s="929"/>
      <c r="AO181" s="929"/>
      <c r="AP181" s="930"/>
      <c r="AQ181" s="930"/>
      <c r="AR181" s="930"/>
      <c r="AS181" s="930"/>
      <c r="AT181" s="930"/>
      <c r="AU181" s="930"/>
      <c r="AV181" s="930"/>
      <c r="AW181" s="929"/>
      <c r="AX181" s="931"/>
      <c r="AY181" s="932"/>
    </row>
    <row r="182" spans="1:55" s="160" customFormat="1" x14ac:dyDescent="0.3">
      <c r="B182" s="890"/>
      <c r="C182" s="891"/>
      <c r="D182" s="892"/>
      <c r="E182" s="887"/>
      <c r="F182" s="894"/>
      <c r="G182" s="895"/>
      <c r="H182" s="895"/>
      <c r="I182" s="977">
        <f t="shared" si="1"/>
        <v>7103.4599999999837</v>
      </c>
      <c r="J182" s="423"/>
      <c r="K182" s="896">
        <f t="shared" si="0"/>
        <v>0</v>
      </c>
      <c r="L182" s="926"/>
      <c r="M182" s="902"/>
      <c r="N182" s="927"/>
      <c r="O182" s="926"/>
      <c r="P182" s="926"/>
      <c r="Q182" s="926"/>
      <c r="R182" s="926"/>
      <c r="S182" s="926"/>
      <c r="T182" s="926"/>
      <c r="U182" s="926"/>
      <c r="V182" s="926"/>
      <c r="W182" s="926"/>
      <c r="X182" s="926"/>
      <c r="Y182" s="927"/>
      <c r="Z182" s="927"/>
      <c r="AA182" s="927"/>
      <c r="AB182" s="927"/>
      <c r="AC182" s="927"/>
      <c r="AD182" s="927"/>
      <c r="AE182" s="927"/>
      <c r="AF182" s="928"/>
      <c r="AG182" s="928"/>
      <c r="AH182" s="926"/>
      <c r="AI182" s="926"/>
      <c r="AJ182" s="926"/>
      <c r="AK182" s="929"/>
      <c r="AL182" s="929"/>
      <c r="AM182" s="929"/>
      <c r="AN182" s="929"/>
      <c r="AO182" s="929"/>
      <c r="AP182" s="930"/>
      <c r="AQ182" s="930"/>
      <c r="AR182" s="930"/>
      <c r="AS182" s="930"/>
      <c r="AT182" s="930"/>
      <c r="AU182" s="930"/>
      <c r="AV182" s="930"/>
      <c r="AW182" s="929"/>
      <c r="AX182" s="931"/>
      <c r="AY182" s="932"/>
    </row>
    <row r="183" spans="1:55" x14ac:dyDescent="0.3">
      <c r="A183" s="160"/>
      <c r="B183" s="890"/>
      <c r="C183" s="891"/>
      <c r="D183" s="892"/>
      <c r="E183" s="887"/>
      <c r="F183" s="900"/>
      <c r="G183" s="901"/>
      <c r="H183" s="902"/>
      <c r="I183" s="977">
        <f t="shared" si="1"/>
        <v>7103.4599999999837</v>
      </c>
      <c r="J183" s="173"/>
      <c r="K183" s="896">
        <f t="shared" si="0"/>
        <v>0</v>
      </c>
      <c r="L183" s="926"/>
      <c r="M183" s="902"/>
      <c r="N183" s="926"/>
      <c r="O183" s="926"/>
      <c r="P183" s="926"/>
      <c r="Q183" s="926"/>
      <c r="R183" s="926"/>
      <c r="S183" s="926"/>
      <c r="T183" s="926"/>
      <c r="U183" s="926"/>
      <c r="V183" s="926"/>
      <c r="W183" s="926"/>
      <c r="X183" s="926"/>
      <c r="Y183" s="926"/>
      <c r="Z183" s="926"/>
      <c r="AA183" s="926"/>
      <c r="AB183" s="926"/>
      <c r="AC183" s="926"/>
      <c r="AD183" s="926"/>
      <c r="AE183" s="926"/>
      <c r="AF183" s="926"/>
      <c r="AG183" s="926"/>
      <c r="AH183" s="926"/>
      <c r="AI183" s="926"/>
      <c r="AJ183" s="926"/>
      <c r="AK183" s="933"/>
      <c r="AL183" s="933"/>
      <c r="AM183" s="933"/>
      <c r="AN183" s="933"/>
      <c r="AO183" s="933"/>
      <c r="AP183" s="934"/>
      <c r="AQ183" s="934"/>
      <c r="AR183" s="934"/>
      <c r="AS183" s="934"/>
      <c r="AT183" s="934"/>
      <c r="AU183" s="934"/>
      <c r="AV183" s="934"/>
      <c r="AW183" s="933"/>
      <c r="AX183" s="935"/>
      <c r="AY183" s="936"/>
      <c r="AZ183" s="429"/>
      <c r="BC183"/>
    </row>
    <row r="184" spans="1:55" s="104" customFormat="1" ht="16.2" thickBot="1" x14ac:dyDescent="0.35">
      <c r="B184" s="903"/>
      <c r="C184" s="904"/>
      <c r="D184" s="905" t="s">
        <v>104</v>
      </c>
      <c r="E184" s="905"/>
      <c r="F184" s="906">
        <f>SUM(F3:F183)</f>
        <v>112902.61999999991</v>
      </c>
      <c r="G184" s="906">
        <f>SUM(G3:G183)</f>
        <v>112902.61999999992</v>
      </c>
      <c r="H184" s="906">
        <f>SUM(H3:H183)</f>
        <v>105000</v>
      </c>
      <c r="I184" s="906">
        <f>I183</f>
        <v>7103.4599999999837</v>
      </c>
      <c r="J184" s="173"/>
      <c r="K184" s="937">
        <f t="shared" ref="K184:AY184" si="2">SUM(K3:K183)</f>
        <v>112902.61999999991</v>
      </c>
      <c r="L184" s="938">
        <f t="shared" si="2"/>
        <v>6074.9399999999987</v>
      </c>
      <c r="M184" s="939">
        <f t="shared" si="2"/>
        <v>8552.07</v>
      </c>
      <c r="N184" s="939">
        <f t="shared" si="2"/>
        <v>0</v>
      </c>
      <c r="O184" s="939">
        <f t="shared" si="2"/>
        <v>18744.420000000006</v>
      </c>
      <c r="P184" s="939">
        <f t="shared" si="2"/>
        <v>4752.6000000000013</v>
      </c>
      <c r="Q184" s="939">
        <f t="shared" si="2"/>
        <v>2451.6199999999994</v>
      </c>
      <c r="R184" s="939">
        <f t="shared" si="2"/>
        <v>674.71</v>
      </c>
      <c r="S184" s="939">
        <f t="shared" si="2"/>
        <v>0</v>
      </c>
      <c r="T184" s="906">
        <f t="shared" si="2"/>
        <v>51.42</v>
      </c>
      <c r="U184" s="939">
        <f t="shared" si="2"/>
        <v>7650.18</v>
      </c>
      <c r="V184" s="939">
        <f t="shared" si="2"/>
        <v>13069.2</v>
      </c>
      <c r="W184" s="939">
        <f t="shared" si="2"/>
        <v>320</v>
      </c>
      <c r="X184" s="939">
        <f t="shared" si="2"/>
        <v>680</v>
      </c>
      <c r="Y184" s="939">
        <f t="shared" si="2"/>
        <v>290</v>
      </c>
      <c r="Z184" s="939">
        <f t="shared" si="2"/>
        <v>517.14</v>
      </c>
      <c r="AA184" s="939">
        <f t="shared" si="2"/>
        <v>907.97</v>
      </c>
      <c r="AB184" s="906">
        <f t="shared" si="2"/>
        <v>0</v>
      </c>
      <c r="AC184" s="939">
        <f t="shared" si="2"/>
        <v>5275</v>
      </c>
      <c r="AD184" s="939">
        <f t="shared" si="2"/>
        <v>0</v>
      </c>
      <c r="AE184" s="906">
        <f t="shared" si="2"/>
        <v>350</v>
      </c>
      <c r="AF184" s="906">
        <f t="shared" si="2"/>
        <v>0</v>
      </c>
      <c r="AG184" s="939">
        <f t="shared" si="2"/>
        <v>2710.03</v>
      </c>
      <c r="AH184" s="906">
        <f t="shared" si="2"/>
        <v>148.80000000000001</v>
      </c>
      <c r="AI184" s="906">
        <f t="shared" si="2"/>
        <v>500</v>
      </c>
      <c r="AJ184" s="906">
        <f t="shared" si="2"/>
        <v>133.17000000000002</v>
      </c>
      <c r="AK184" s="940">
        <f t="shared" si="2"/>
        <v>18681.7</v>
      </c>
      <c r="AL184" s="940">
        <f t="shared" si="2"/>
        <v>705</v>
      </c>
      <c r="AM184" s="940">
        <f t="shared" si="2"/>
        <v>6000</v>
      </c>
      <c r="AN184" s="941">
        <f t="shared" si="2"/>
        <v>2630</v>
      </c>
      <c r="AO184" s="941">
        <f t="shared" si="2"/>
        <v>2538.5499999999997</v>
      </c>
      <c r="AP184" s="941">
        <f t="shared" si="2"/>
        <v>1842</v>
      </c>
      <c r="AQ184" s="941">
        <f t="shared" si="2"/>
        <v>1393.63</v>
      </c>
      <c r="AR184" s="941">
        <f t="shared" si="2"/>
        <v>524.13</v>
      </c>
      <c r="AS184" s="941">
        <f t="shared" si="2"/>
        <v>328.76</v>
      </c>
      <c r="AT184" s="941">
        <f t="shared" si="2"/>
        <v>142</v>
      </c>
      <c r="AU184" s="941">
        <f t="shared" si="2"/>
        <v>1379.05</v>
      </c>
      <c r="AV184" s="941">
        <f t="shared" si="2"/>
        <v>161.48000000000002</v>
      </c>
      <c r="AW184" s="941">
        <f t="shared" si="2"/>
        <v>1882.44</v>
      </c>
      <c r="AX184" s="941">
        <f t="shared" si="2"/>
        <v>586.33000000000004</v>
      </c>
      <c r="AY184" s="941">
        <f t="shared" si="2"/>
        <v>254.28</v>
      </c>
      <c r="AZ184" s="104" t="s">
        <v>1254</v>
      </c>
    </row>
    <row r="185" spans="1:55" ht="16.8" thickTop="1" thickBot="1" x14ac:dyDescent="0.35">
      <c r="B185" s="105"/>
      <c r="C185" s="106"/>
      <c r="D185" s="1"/>
      <c r="E185" s="7"/>
      <c r="F185" s="89"/>
      <c r="G185" s="7"/>
      <c r="H185" s="5"/>
      <c r="I185" s="5"/>
      <c r="J185" s="5"/>
      <c r="K185" s="942"/>
      <c r="L185" s="942"/>
      <c r="M185" s="942"/>
      <c r="N185" s="942"/>
      <c r="O185" s="942"/>
      <c r="P185" s="942"/>
      <c r="Q185" s="942"/>
      <c r="R185" s="942"/>
      <c r="S185" s="942"/>
      <c r="T185" s="942"/>
      <c r="U185" s="942"/>
      <c r="V185" s="942"/>
      <c r="W185" s="942"/>
      <c r="X185" s="942"/>
      <c r="Y185" s="942"/>
      <c r="Z185" s="942"/>
      <c r="AA185" s="942"/>
      <c r="AB185" s="942"/>
      <c r="AC185" s="942"/>
      <c r="AD185" s="942"/>
      <c r="AE185" s="942"/>
      <c r="AF185" s="942"/>
      <c r="AG185" s="942"/>
      <c r="AH185" s="942"/>
      <c r="AI185" s="942"/>
      <c r="AJ185" s="942"/>
      <c r="AK185" s="942"/>
      <c r="AL185" s="942"/>
      <c r="AM185" s="943"/>
      <c r="AN185" s="943"/>
      <c r="AO185" s="943"/>
      <c r="AP185" s="943"/>
      <c r="AQ185" s="943"/>
      <c r="AR185" s="943"/>
      <c r="AS185" s="943"/>
      <c r="AT185" s="943"/>
      <c r="AU185" s="943"/>
      <c r="AV185" s="943"/>
      <c r="AW185" s="943"/>
      <c r="AX185" s="944" t="s">
        <v>810</v>
      </c>
      <c r="AY185" s="945">
        <f>SUM(AN184:AY184)</f>
        <v>13662.65</v>
      </c>
      <c r="AZ185" s="572" t="s">
        <v>665</v>
      </c>
      <c r="BC185"/>
    </row>
    <row r="186" spans="1:55" x14ac:dyDescent="0.3">
      <c r="B186" s="107"/>
      <c r="C186" s="108"/>
      <c r="D186" s="109"/>
      <c r="E186" s="110"/>
      <c r="F186" s="110"/>
      <c r="G186" s="111"/>
      <c r="I186" s="5"/>
      <c r="J186" s="5"/>
      <c r="K186" s="942"/>
      <c r="L186" s="942"/>
      <c r="M186" s="942"/>
      <c r="N186" s="942"/>
      <c r="O186" s="942"/>
      <c r="P186" s="942"/>
      <c r="Q186" s="942">
        <f>K184</f>
        <v>112902.61999999991</v>
      </c>
      <c r="S186" s="942"/>
      <c r="T186" s="942"/>
      <c r="U186" s="942"/>
      <c r="V186" s="942"/>
      <c r="W186" s="942"/>
      <c r="X186" s="942"/>
      <c r="Y186" s="942"/>
      <c r="Z186" s="942"/>
      <c r="AA186" s="942"/>
      <c r="AB186" s="942"/>
      <c r="AC186" s="942"/>
      <c r="AD186" s="942"/>
      <c r="AE186" s="942"/>
      <c r="AF186" s="942"/>
      <c r="AG186" s="946"/>
      <c r="AH186" s="946"/>
      <c r="AI186" s="946"/>
      <c r="AJ186" s="942"/>
      <c r="AK186" s="942"/>
      <c r="AL186" s="942"/>
      <c r="AM186" s="947"/>
      <c r="AN186" s="947"/>
      <c r="AO186" s="947"/>
      <c r="AY186" s="948"/>
      <c r="BC186"/>
    </row>
    <row r="187" spans="1:55" ht="16.2" thickBot="1" x14ac:dyDescent="0.35">
      <c r="B187" s="965" t="s">
        <v>194</v>
      </c>
      <c r="C187" s="966"/>
      <c r="D187" s="379"/>
      <c r="E187" s="967">
        <f>F184</f>
        <v>112902.61999999991</v>
      </c>
      <c r="F187" s="4"/>
      <c r="G187" s="112"/>
      <c r="I187" s="5"/>
      <c r="J187" s="5"/>
      <c r="L187" s="942"/>
      <c r="M187" s="942"/>
      <c r="N187" s="942" t="s">
        <v>669</v>
      </c>
      <c r="O187" s="942" t="s">
        <v>670</v>
      </c>
      <c r="Q187" s="949">
        <f>O184+P184+Q184</f>
        <v>25948.640000000007</v>
      </c>
      <c r="S187" s="942"/>
      <c r="T187" s="942"/>
      <c r="U187" s="942"/>
      <c r="V187" s="942"/>
      <c r="W187" s="942"/>
      <c r="X187" s="942"/>
      <c r="Y187" s="942"/>
      <c r="Z187" s="942"/>
      <c r="AA187" s="942"/>
      <c r="AB187" s="942"/>
      <c r="AC187" s="942"/>
      <c r="AD187" s="942"/>
      <c r="AE187" s="942"/>
      <c r="AF187" s="942"/>
      <c r="AG187" s="447"/>
      <c r="AJ187" s="942"/>
      <c r="AK187" s="942" t="s">
        <v>804</v>
      </c>
      <c r="AL187" s="942"/>
      <c r="AM187" s="950">
        <f>SUM(L184:AY184)</f>
        <v>112902.62000000001</v>
      </c>
      <c r="AN187" s="951"/>
      <c r="AO187" s="951"/>
      <c r="AY187" s="948"/>
      <c r="AZ187" s="103"/>
      <c r="BC187"/>
    </row>
    <row r="188" spans="1:55" ht="16.2" thickTop="1" x14ac:dyDescent="0.3">
      <c r="B188" s="968"/>
      <c r="C188" s="966"/>
      <c r="D188" s="379"/>
      <c r="E188" s="320"/>
      <c r="F188"/>
      <c r="G188" s="112"/>
      <c r="I188" s="5"/>
      <c r="J188" s="5"/>
      <c r="L188" s="942"/>
      <c r="M188" s="942"/>
      <c r="N188" s="942" t="s">
        <v>671</v>
      </c>
      <c r="O188" s="952" t="s">
        <v>672</v>
      </c>
      <c r="P188" s="949">
        <f>U184</f>
        <v>7650.18</v>
      </c>
      <c r="Q188" s="942"/>
      <c r="S188" s="942"/>
      <c r="T188" s="942"/>
      <c r="U188" s="942"/>
      <c r="V188" s="942"/>
      <c r="W188" s="942"/>
      <c r="X188" s="942"/>
      <c r="Y188" s="942"/>
      <c r="Z188" s="942"/>
      <c r="AA188" s="942"/>
      <c r="AB188" s="942"/>
      <c r="AC188" s="942"/>
      <c r="AD188" s="942"/>
      <c r="AE188" s="942"/>
      <c r="AF188" s="942"/>
      <c r="AG188" s="942"/>
      <c r="AH188" s="942"/>
      <c r="AI188" s="942"/>
      <c r="AJ188" s="942"/>
      <c r="AK188" s="942"/>
      <c r="AL188" s="942"/>
      <c r="AM188" s="948"/>
      <c r="AN188" s="948"/>
      <c r="AO188" s="948"/>
      <c r="AP188" s="948"/>
      <c r="AQ188" s="948"/>
      <c r="AR188" s="948"/>
      <c r="AS188" s="948"/>
      <c r="AT188" s="948"/>
      <c r="AU188" s="948"/>
      <c r="AV188" s="948"/>
      <c r="AW188" s="948"/>
      <c r="AX188" s="948"/>
      <c r="AY188" s="948"/>
      <c r="AZ188" s="103"/>
      <c r="BC188"/>
    </row>
    <row r="189" spans="1:55" x14ac:dyDescent="0.3">
      <c r="B189" s="968"/>
      <c r="C189" s="966"/>
      <c r="D189" s="379"/>
      <c r="E189" s="969"/>
      <c r="F189" s="4"/>
      <c r="G189" s="112"/>
      <c r="I189" s="5"/>
      <c r="J189" s="5"/>
      <c r="L189" s="942"/>
      <c r="M189" s="942"/>
      <c r="N189" s="942" t="s">
        <v>671</v>
      </c>
      <c r="O189" s="379" t="s">
        <v>673</v>
      </c>
      <c r="P189" s="949">
        <f>V184</f>
        <v>13069.2</v>
      </c>
      <c r="Q189" s="942">
        <f>SUM(P188:P189)</f>
        <v>20719.38</v>
      </c>
      <c r="S189" s="942"/>
      <c r="T189" s="942"/>
      <c r="U189" s="942"/>
      <c r="V189" s="942"/>
      <c r="W189" s="942"/>
      <c r="X189" s="942"/>
      <c r="Y189" s="942"/>
      <c r="Z189" s="942"/>
      <c r="AA189" s="942"/>
      <c r="AB189" s="942"/>
      <c r="AC189" s="942"/>
      <c r="AD189" s="942"/>
      <c r="AE189" s="942"/>
      <c r="AF189" s="942"/>
      <c r="AG189" s="942"/>
      <c r="AH189" s="942"/>
      <c r="AI189" s="942"/>
      <c r="AJ189" s="942"/>
      <c r="AK189" s="942"/>
      <c r="AL189" s="942"/>
      <c r="AM189" s="948"/>
      <c r="AN189" s="948"/>
      <c r="AO189" s="948"/>
      <c r="AP189" s="948"/>
      <c r="AQ189" s="948"/>
      <c r="AR189" s="948"/>
      <c r="AS189" s="948"/>
      <c r="AT189" s="948"/>
      <c r="AU189" s="948"/>
      <c r="AV189" s="948"/>
      <c r="AW189" s="948"/>
      <c r="AX189" s="948"/>
      <c r="AY189" s="948"/>
      <c r="AZ189" s="103"/>
      <c r="BC189"/>
    </row>
    <row r="190" spans="1:55" x14ac:dyDescent="0.3">
      <c r="B190" s="970" t="s">
        <v>105</v>
      </c>
      <c r="C190" s="971"/>
      <c r="D190" s="972"/>
      <c r="E190" s="973">
        <f>G184</f>
        <v>112902.61999999992</v>
      </c>
      <c r="F190" s="114"/>
      <c r="G190" s="112"/>
      <c r="I190" s="5"/>
      <c r="J190" s="5"/>
      <c r="L190" s="942"/>
      <c r="M190" s="942"/>
      <c r="N190" s="942"/>
      <c r="O190" s="942" t="s">
        <v>91</v>
      </c>
      <c r="Q190" s="949">
        <f>L184</f>
        <v>6074.9399999999987</v>
      </c>
      <c r="S190" s="942"/>
      <c r="T190" s="942"/>
      <c r="U190" s="942"/>
      <c r="V190" s="942"/>
      <c r="W190" s="942"/>
      <c r="X190" s="942"/>
      <c r="Y190" s="942"/>
      <c r="Z190" s="942"/>
      <c r="AA190" s="942"/>
      <c r="AB190" s="942"/>
      <c r="AC190" s="942"/>
      <c r="AD190" s="942"/>
      <c r="AE190" s="942"/>
      <c r="AF190" s="942"/>
      <c r="AG190" s="942"/>
      <c r="AH190" s="942"/>
      <c r="AI190" s="942"/>
      <c r="AJ190" s="942"/>
      <c r="AK190" s="942"/>
      <c r="AL190" s="942"/>
      <c r="AM190" s="948"/>
      <c r="AN190" s="948"/>
      <c r="AO190" s="948"/>
      <c r="AP190" s="948"/>
      <c r="AQ190" s="948"/>
      <c r="AR190" s="948"/>
      <c r="AS190" s="948"/>
      <c r="AT190" s="948"/>
      <c r="AU190" s="948"/>
      <c r="AV190" s="948"/>
      <c r="AW190" s="948"/>
      <c r="AX190" s="948"/>
      <c r="AY190" s="948"/>
      <c r="AZ190" s="103"/>
      <c r="BC190"/>
    </row>
    <row r="191" spans="1:55" x14ac:dyDescent="0.3">
      <c r="B191" s="970" t="s">
        <v>152</v>
      </c>
      <c r="C191" s="971"/>
      <c r="D191" s="969"/>
      <c r="E191" s="974">
        <f>L184</f>
        <v>6074.9399999999987</v>
      </c>
      <c r="F191" s="114"/>
      <c r="G191" s="112"/>
      <c r="I191" s="5"/>
      <c r="J191" s="5"/>
      <c r="L191" s="942"/>
      <c r="M191" s="942"/>
      <c r="N191" s="942" t="s">
        <v>674</v>
      </c>
      <c r="O191" s="942" t="s">
        <v>675</v>
      </c>
      <c r="P191" s="942"/>
      <c r="Q191" s="942">
        <f>M184+N184+R184+S184+T184+W184+X184+Y184+Z184+AA184+AB184+AC184+AD184+AE184+AF184+AG184+AH184+AI184+AJ184+AK184+AL184+AM184+AY185</f>
        <v>60159.659999999996</v>
      </c>
      <c r="R191" s="942"/>
      <c r="S191" s="942"/>
      <c r="T191" s="942"/>
      <c r="U191" s="942"/>
      <c r="V191" s="942"/>
      <c r="W191" s="942"/>
      <c r="X191" s="942"/>
      <c r="Y191" s="942"/>
      <c r="Z191" s="942"/>
      <c r="AA191" s="942"/>
      <c r="AB191" s="942"/>
      <c r="AC191" s="942"/>
      <c r="AD191" s="942"/>
      <c r="AE191" s="942"/>
      <c r="AF191" s="942"/>
      <c r="AG191" s="942"/>
      <c r="AH191" s="942"/>
      <c r="AI191" s="942"/>
      <c r="AJ191" s="942"/>
      <c r="AK191" s="942"/>
      <c r="AL191" s="942"/>
      <c r="AM191" s="953"/>
      <c r="AN191" s="953"/>
      <c r="AO191" s="953"/>
      <c r="AP191" s="953"/>
      <c r="AQ191" s="953"/>
      <c r="AR191" s="948"/>
      <c r="AS191" s="948"/>
      <c r="AT191" s="948"/>
      <c r="AU191" s="953"/>
      <c r="AV191" s="953"/>
      <c r="AW191" s="953"/>
      <c r="AX191" s="953"/>
      <c r="AY191" s="953"/>
      <c r="AZ191" s="103"/>
      <c r="BC191"/>
    </row>
    <row r="192" spans="1:55" x14ac:dyDescent="0.3">
      <c r="B192" s="970" t="s">
        <v>200</v>
      </c>
      <c r="C192" s="971"/>
      <c r="D192" s="969"/>
      <c r="E192" s="975">
        <f>AK184+AL184+AM184</f>
        <v>25386.7</v>
      </c>
      <c r="F192" s="114"/>
      <c r="G192" s="112"/>
      <c r="I192" s="5"/>
      <c r="J192" s="5"/>
      <c r="L192" s="942"/>
      <c r="M192" s="942"/>
      <c r="N192" s="942"/>
      <c r="O192" s="942"/>
      <c r="P192" s="942"/>
      <c r="Q192" s="942"/>
      <c r="R192" s="942"/>
      <c r="S192" s="942"/>
      <c r="T192" s="942"/>
      <c r="U192" s="942"/>
      <c r="V192" s="942"/>
      <c r="W192" s="942"/>
      <c r="X192" s="942"/>
      <c r="Y192" s="942"/>
      <c r="Z192" s="942"/>
      <c r="AA192" s="942"/>
      <c r="AB192" s="942"/>
      <c r="AC192" s="942"/>
      <c r="AD192" s="942"/>
      <c r="AE192" s="942"/>
      <c r="AF192" s="942"/>
      <c r="AG192" s="942"/>
      <c r="AH192" s="942"/>
      <c r="AI192" s="942"/>
      <c r="AJ192" s="942"/>
      <c r="AK192" s="942"/>
      <c r="AL192" s="942"/>
      <c r="AM192" s="953"/>
      <c r="AN192" s="953"/>
      <c r="AO192" s="953"/>
      <c r="AP192" s="953"/>
      <c r="AQ192" s="953"/>
      <c r="AR192" s="948"/>
      <c r="AS192" s="948"/>
      <c r="AT192" s="948"/>
      <c r="AU192" s="953"/>
      <c r="AV192" s="953"/>
      <c r="AW192" s="953"/>
      <c r="AX192" s="953"/>
      <c r="AY192" s="953"/>
      <c r="AZ192" s="103"/>
      <c r="BC192"/>
    </row>
    <row r="193" spans="2:55" ht="16.2" thickBot="1" x14ac:dyDescent="0.35">
      <c r="B193" s="968" t="s">
        <v>106</v>
      </c>
      <c r="C193" s="966"/>
      <c r="D193" s="379"/>
      <c r="E193" s="976">
        <f>E190-E191-E192</f>
        <v>81440.979999999923</v>
      </c>
      <c r="F193" s="2"/>
      <c r="G193" s="112"/>
      <c r="I193" s="5"/>
      <c r="J193" s="5"/>
      <c r="L193" s="954"/>
      <c r="M193" s="954"/>
      <c r="N193" s="954"/>
      <c r="O193" s="954"/>
      <c r="P193" s="954"/>
      <c r="Q193" s="954"/>
      <c r="R193" s="942"/>
      <c r="S193" s="942"/>
      <c r="T193" s="942"/>
      <c r="U193" s="942"/>
      <c r="V193" s="942"/>
      <c r="W193" s="942"/>
      <c r="X193" s="942"/>
      <c r="Y193" s="942"/>
      <c r="Z193" s="942"/>
      <c r="AA193" s="942"/>
      <c r="AB193" s="942"/>
      <c r="AC193" s="942"/>
      <c r="AD193" s="942"/>
      <c r="AE193" s="942"/>
      <c r="AF193" s="942"/>
      <c r="AG193" s="942"/>
      <c r="AH193" s="942" t="s">
        <v>55</v>
      </c>
      <c r="AI193" s="942"/>
      <c r="AJ193" s="942"/>
      <c r="AK193" s="942"/>
      <c r="AL193" s="942"/>
      <c r="AM193" s="953"/>
      <c r="AN193" s="953"/>
      <c r="AO193" s="953"/>
      <c r="AP193" s="953"/>
      <c r="AQ193" s="953"/>
      <c r="AR193" s="948"/>
      <c r="AS193" s="948"/>
      <c r="AT193" s="948"/>
      <c r="AU193" s="953"/>
      <c r="AV193" s="953"/>
      <c r="AW193" s="953"/>
      <c r="AX193" s="953"/>
      <c r="AY193" s="953"/>
      <c r="AZ193" s="103"/>
      <c r="BC193"/>
    </row>
    <row r="194" spans="2:55" ht="16.2" thickTop="1" x14ac:dyDescent="0.3">
      <c r="B194" s="115"/>
      <c r="C194" s="106"/>
      <c r="D194" s="1"/>
      <c r="E194" s="7"/>
      <c r="F194" s="7"/>
      <c r="G194" s="112"/>
      <c r="I194" s="5"/>
      <c r="J194" s="5"/>
      <c r="L194" s="954"/>
      <c r="M194" s="954"/>
      <c r="N194" s="954" t="s">
        <v>676</v>
      </c>
      <c r="O194" s="954"/>
      <c r="P194" s="954"/>
      <c r="Q194" s="954">
        <f>SUM(M184:AY184)</f>
        <v>106827.68000000001</v>
      </c>
      <c r="R194" s="942"/>
      <c r="S194" s="942"/>
      <c r="T194" s="942"/>
      <c r="U194" s="942"/>
      <c r="V194" s="942"/>
      <c r="W194" s="942"/>
      <c r="X194" s="942"/>
      <c r="Y194" s="942"/>
      <c r="Z194" s="942"/>
      <c r="AA194" s="942"/>
      <c r="AB194" s="942"/>
      <c r="AC194" s="942"/>
      <c r="AD194" s="942"/>
      <c r="AE194" s="942"/>
      <c r="AF194" s="942"/>
      <c r="AG194" s="942"/>
      <c r="AH194" s="942"/>
      <c r="AI194" s="942"/>
      <c r="AJ194" s="942"/>
      <c r="AK194" s="942"/>
      <c r="AL194" s="942"/>
      <c r="AM194" s="953"/>
      <c r="AN194" s="953"/>
      <c r="AO194" s="953"/>
      <c r="AP194" s="953"/>
      <c r="AQ194" s="953"/>
      <c r="AR194" s="948"/>
      <c r="AS194" s="948"/>
      <c r="AT194" s="948"/>
      <c r="AU194" s="953"/>
      <c r="AV194" s="953"/>
      <c r="AW194" s="953"/>
      <c r="AX194" s="953"/>
      <c r="AY194" s="953"/>
      <c r="AZ194" s="103"/>
      <c r="BC194"/>
    </row>
    <row r="195" spans="2:55" ht="16.2" thickBot="1" x14ac:dyDescent="0.35">
      <c r="B195" s="116" t="s">
        <v>134</v>
      </c>
      <c r="C195" s="117"/>
      <c r="D195" s="118"/>
      <c r="E195" s="119">
        <f>E193-'Budget YTD 2025 26'!BW37</f>
        <v>0</v>
      </c>
      <c r="F195" s="119"/>
      <c r="G195" s="120"/>
      <c r="I195" s="5" t="e">
        <f>SUM(#REF!)</f>
        <v>#REF!</v>
      </c>
      <c r="J195" s="5"/>
      <c r="L195" s="954"/>
      <c r="M195" s="954"/>
      <c r="N195" s="955" t="s">
        <v>677</v>
      </c>
      <c r="O195" s="954"/>
      <c r="P195" s="954"/>
      <c r="Q195" s="956"/>
      <c r="R195" s="942"/>
      <c r="S195" s="942"/>
      <c r="T195" s="942"/>
      <c r="U195" s="942"/>
      <c r="V195" s="942"/>
      <c r="W195" s="942"/>
      <c r="X195" s="942"/>
      <c r="Y195" s="942"/>
      <c r="Z195" s="942"/>
      <c r="AA195" s="942"/>
      <c r="AB195" s="942"/>
      <c r="AC195" s="942"/>
      <c r="AD195" s="942"/>
      <c r="AE195" s="942"/>
      <c r="AF195" s="942"/>
      <c r="AG195" s="942"/>
      <c r="AH195" s="942"/>
      <c r="AI195" s="942"/>
      <c r="AJ195" s="942"/>
      <c r="AK195" s="942"/>
      <c r="AL195" s="942"/>
      <c r="AM195" s="953"/>
      <c r="AN195" s="953"/>
      <c r="AO195" s="953"/>
      <c r="AP195" s="953"/>
      <c r="AQ195" s="953"/>
      <c r="AR195" s="948"/>
      <c r="AS195" s="948"/>
      <c r="AT195" s="948"/>
      <c r="AU195" s="953"/>
      <c r="AV195" s="953"/>
      <c r="AW195" s="953"/>
      <c r="AX195" s="953"/>
      <c r="AY195" s="953"/>
      <c r="AZ195" s="103"/>
      <c r="BC195"/>
    </row>
    <row r="196" spans="2:55" x14ac:dyDescent="0.3">
      <c r="B196" s="105"/>
      <c r="C196" s="106"/>
      <c r="D196" s="1"/>
      <c r="E196" s="113"/>
      <c r="F196" s="89"/>
      <c r="G196" s="113"/>
      <c r="H196" s="5"/>
      <c r="I196" s="5"/>
      <c r="J196" s="5"/>
      <c r="L196" s="954"/>
      <c r="M196" s="954"/>
      <c r="N196" s="954"/>
      <c r="O196" s="954"/>
      <c r="P196" s="954"/>
      <c r="Q196" s="954"/>
      <c r="R196" s="942"/>
      <c r="S196" s="942"/>
      <c r="T196" s="942"/>
      <c r="U196" s="942"/>
      <c r="V196" s="942"/>
      <c r="W196" s="942"/>
      <c r="X196" s="942"/>
      <c r="Y196" s="942"/>
      <c r="Z196" s="942"/>
      <c r="AA196" s="942"/>
      <c r="AB196" s="942"/>
      <c r="AC196" s="942"/>
      <c r="AD196" s="942"/>
      <c r="AE196" s="942"/>
      <c r="AF196" s="942"/>
      <c r="AG196" s="942"/>
      <c r="AH196" s="942"/>
      <c r="AI196" s="942"/>
      <c r="AJ196" s="942"/>
      <c r="AK196" s="942"/>
      <c r="AL196" s="942"/>
      <c r="AM196" s="953"/>
      <c r="AN196" s="953"/>
      <c r="AO196" s="953"/>
      <c r="AP196" s="953"/>
      <c r="AQ196" s="953"/>
      <c r="AR196" s="948"/>
      <c r="AS196" s="948"/>
      <c r="AT196" s="948"/>
      <c r="AU196" s="953"/>
      <c r="AV196" s="953"/>
      <c r="AW196" s="953"/>
      <c r="AX196" s="953"/>
      <c r="AY196" s="953"/>
      <c r="AZ196" s="103"/>
      <c r="BC196"/>
    </row>
    <row r="197" spans="2:55" x14ac:dyDescent="0.3">
      <c r="B197" s="105"/>
      <c r="C197" s="106"/>
      <c r="D197" s="1"/>
      <c r="E197" s="7"/>
      <c r="F197" s="89"/>
      <c r="G197" s="7"/>
      <c r="H197" s="5"/>
      <c r="I197" s="5"/>
      <c r="J197" s="5"/>
      <c r="L197" s="954"/>
      <c r="M197" s="954"/>
      <c r="N197" s="954" t="s">
        <v>1314</v>
      </c>
      <c r="O197" s="954"/>
      <c r="P197" s="954"/>
      <c r="Q197" s="954">
        <f>Q187</f>
        <v>25948.640000000007</v>
      </c>
      <c r="R197" s="942"/>
      <c r="S197" s="942"/>
      <c r="T197" s="942"/>
      <c r="U197" s="942"/>
      <c r="V197" s="942"/>
      <c r="W197" s="942"/>
      <c r="X197" s="942"/>
      <c r="Y197" s="942"/>
      <c r="Z197" s="942"/>
      <c r="AA197" s="942"/>
      <c r="AB197" s="942"/>
      <c r="AC197" s="942"/>
      <c r="AD197" s="942"/>
      <c r="AE197" s="942"/>
      <c r="AF197" s="942"/>
      <c r="AG197" s="942"/>
      <c r="AH197" s="942"/>
      <c r="AI197" s="942"/>
      <c r="AJ197" s="942"/>
      <c r="AK197" s="942"/>
      <c r="AL197" s="942"/>
      <c r="AM197" s="953"/>
      <c r="AN197" s="953"/>
      <c r="AO197" s="953"/>
      <c r="AP197" s="953"/>
      <c r="AQ197" s="953"/>
      <c r="AR197" s="948"/>
      <c r="AS197" s="948"/>
      <c r="AT197" s="948"/>
      <c r="AU197" s="953"/>
      <c r="AV197" s="953"/>
      <c r="AW197" s="953"/>
      <c r="AX197" s="953"/>
      <c r="AY197" s="953"/>
      <c r="AZ197" s="103"/>
      <c r="BC197"/>
    </row>
    <row r="198" spans="2:55" x14ac:dyDescent="0.3">
      <c r="B198" s="122"/>
      <c r="C198" s="123"/>
      <c r="D198" s="124"/>
      <c r="E198" s="126"/>
      <c r="F198" s="89"/>
      <c r="G198" s="125"/>
      <c r="H198" s="126"/>
      <c r="I198" s="126"/>
      <c r="J198" s="125"/>
      <c r="L198" s="957"/>
      <c r="M198" s="958"/>
      <c r="N198" s="958"/>
      <c r="O198" s="959"/>
      <c r="P198" s="959"/>
      <c r="Q198" s="959"/>
      <c r="R198" s="881"/>
      <c r="S198" s="881"/>
      <c r="T198" s="881"/>
      <c r="U198" s="881"/>
      <c r="V198" s="881"/>
      <c r="W198" s="881"/>
      <c r="X198" s="881"/>
      <c r="Y198" s="881"/>
      <c r="Z198" s="881"/>
      <c r="AA198" s="881"/>
      <c r="AB198" s="881"/>
      <c r="AC198" s="881"/>
      <c r="AD198" s="881"/>
      <c r="AE198" s="881"/>
      <c r="AF198" s="881"/>
      <c r="AG198" s="881"/>
      <c r="AH198" s="881"/>
      <c r="AI198" s="881"/>
      <c r="AJ198" s="960"/>
      <c r="AK198" s="960"/>
      <c r="AL198" s="960"/>
      <c r="AM198" s="961"/>
      <c r="AN198" s="961"/>
      <c r="AO198" s="961"/>
      <c r="AP198" s="961"/>
      <c r="AQ198" s="961"/>
      <c r="AR198" s="910"/>
      <c r="AS198" s="910"/>
      <c r="AT198" s="910"/>
      <c r="AU198" s="961"/>
      <c r="AV198" s="961"/>
      <c r="AW198" s="961"/>
      <c r="AX198" s="961"/>
      <c r="AY198" s="961"/>
      <c r="AZ198" s="127"/>
      <c r="BC198"/>
    </row>
    <row r="199" spans="2:55" x14ac:dyDescent="0.3">
      <c r="B199" s="128"/>
      <c r="C199" s="129"/>
      <c r="D199" s="99"/>
      <c r="E199" s="99"/>
      <c r="F199" s="89"/>
      <c r="G199" s="99"/>
      <c r="H199" s="126"/>
      <c r="I199" s="126"/>
      <c r="J199" s="126"/>
      <c r="L199" s="957"/>
      <c r="M199" s="957"/>
      <c r="N199" s="962" t="s">
        <v>1315</v>
      </c>
      <c r="O199" s="959"/>
      <c r="P199" s="957"/>
      <c r="Q199" s="957">
        <f>SUM(U184:V184)</f>
        <v>20719.38</v>
      </c>
      <c r="R199" s="881"/>
      <c r="S199" s="881"/>
      <c r="T199" s="881"/>
      <c r="U199" s="881"/>
      <c r="V199" s="881"/>
      <c r="W199" s="881"/>
      <c r="X199" s="881"/>
      <c r="Y199" s="881"/>
      <c r="Z199" s="881"/>
      <c r="AA199" s="881"/>
      <c r="AB199" s="881"/>
      <c r="AC199" s="881"/>
      <c r="AD199" s="881"/>
      <c r="AE199" s="881"/>
      <c r="AF199" s="881"/>
      <c r="AG199" s="881"/>
      <c r="AH199" s="881"/>
      <c r="AI199" s="881"/>
      <c r="AJ199" s="960"/>
      <c r="AK199" s="960"/>
      <c r="AL199" s="960"/>
      <c r="AM199" s="961"/>
      <c r="AN199" s="961"/>
      <c r="AO199" s="961"/>
      <c r="AP199" s="961"/>
      <c r="AQ199" s="961"/>
      <c r="AR199" s="910"/>
      <c r="AS199" s="910"/>
      <c r="AT199" s="910"/>
      <c r="AU199" s="961"/>
      <c r="AV199" s="961"/>
      <c r="AW199" s="961"/>
      <c r="AX199" s="961"/>
      <c r="AY199" s="961"/>
      <c r="AZ199" s="101"/>
      <c r="BC199"/>
    </row>
    <row r="200" spans="2:55" x14ac:dyDescent="0.3">
      <c r="B200" s="128"/>
      <c r="C200" s="129"/>
      <c r="D200" s="99"/>
      <c r="E200" s="99"/>
      <c r="F200" s="89"/>
      <c r="G200" s="99"/>
      <c r="H200" s="99"/>
      <c r="I200" s="99"/>
      <c r="J200" s="99"/>
      <c r="L200" s="959"/>
      <c r="M200" s="959"/>
      <c r="N200" s="959"/>
      <c r="O200" s="959"/>
      <c r="P200" s="959"/>
      <c r="Q200" s="959"/>
      <c r="R200" s="881"/>
      <c r="S200" s="881"/>
      <c r="T200" s="881"/>
      <c r="U200" s="881"/>
      <c r="V200" s="881"/>
      <c r="W200" s="881"/>
      <c r="X200" s="881"/>
      <c r="Y200" s="881"/>
      <c r="Z200" s="881"/>
      <c r="AA200" s="881"/>
      <c r="AB200" s="881"/>
      <c r="AC200" s="881"/>
      <c r="AD200" s="881"/>
      <c r="AE200" s="881"/>
      <c r="AF200" s="881"/>
      <c r="AG200" s="881"/>
      <c r="AH200" s="881"/>
      <c r="AI200" s="881"/>
      <c r="AJ200" s="960"/>
      <c r="AK200" s="960"/>
      <c r="AL200" s="960"/>
      <c r="AM200" s="961"/>
      <c r="AN200" s="961"/>
      <c r="AO200" s="961"/>
      <c r="AP200" s="961"/>
      <c r="AQ200" s="961"/>
      <c r="AR200" s="910"/>
      <c r="AS200" s="910"/>
      <c r="AT200" s="910"/>
      <c r="AU200" s="961"/>
      <c r="AV200" s="961"/>
      <c r="AW200" s="961"/>
      <c r="AX200" s="961"/>
      <c r="AY200" s="961"/>
      <c r="AZ200" s="101"/>
      <c r="BC200"/>
    </row>
    <row r="201" spans="2:55" x14ac:dyDescent="0.3">
      <c r="L201" s="956"/>
      <c r="M201" s="956"/>
      <c r="N201" s="955" t="s">
        <v>678</v>
      </c>
      <c r="O201" s="956"/>
      <c r="P201" s="956"/>
      <c r="Q201" s="963">
        <f>Q194-Q197-Q199</f>
        <v>60159.66</v>
      </c>
      <c r="BC201"/>
    </row>
  </sheetData>
  <phoneticPr fontId="47" type="noConversion"/>
  <pageMargins left="0.70866141732283472" right="0.70866141732283472" top="0.74803149606299213" bottom="0.74803149606299213" header="0.31496062992125984" footer="0.31496062992125984"/>
  <pageSetup paperSize="9" scale="10" fitToHeight="4" orientation="portrait" r:id="rId1"/>
  <headerFooter>
    <oddHeader>&amp;CWest Coker Parish Council          Current Account</oddHeader>
    <oddFooter>&amp;C&amp;P / &amp;N&amp;R&amp;D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41"/>
  <sheetViews>
    <sheetView workbookViewId="0">
      <pane xSplit="3" ySplit="5" topLeftCell="D24" activePane="bottomRight" state="frozen"/>
      <selection pane="topRight" activeCell="D1" sqref="D1"/>
      <selection pane="bottomLeft" activeCell="A6" sqref="A6"/>
      <selection pane="bottomRight" activeCell="B30" sqref="B30"/>
    </sheetView>
  </sheetViews>
  <sheetFormatPr defaultRowHeight="14.4" x14ac:dyDescent="0.3"/>
  <cols>
    <col min="1" max="1" width="9.109375" customWidth="1"/>
    <col min="3" max="3" width="39.6640625" customWidth="1"/>
    <col min="4" max="4" width="8.44140625" customWidth="1"/>
    <col min="5" max="5" width="15.5546875" customWidth="1"/>
    <col min="6" max="6" width="11.44140625" bestFit="1" customWidth="1"/>
    <col min="7" max="7" width="13.33203125" customWidth="1"/>
    <col min="8" max="8" width="12.5546875" customWidth="1"/>
  </cols>
  <sheetData>
    <row r="2" spans="1:8" x14ac:dyDescent="0.3">
      <c r="A2" s="130"/>
      <c r="C2" s="60" t="s">
        <v>107</v>
      </c>
      <c r="D2" s="571"/>
      <c r="E2" s="571"/>
      <c r="F2" s="571"/>
      <c r="G2" s="571"/>
      <c r="H2" s="131"/>
    </row>
    <row r="3" spans="1:8" ht="15.6" x14ac:dyDescent="0.3">
      <c r="A3" s="568"/>
      <c r="B3" s="132"/>
      <c r="C3" s="283" t="s">
        <v>658</v>
      </c>
      <c r="D3" s="19"/>
      <c r="E3" s="19"/>
      <c r="F3" s="19"/>
      <c r="G3" s="130"/>
      <c r="H3" s="131"/>
    </row>
    <row r="4" spans="1:8" x14ac:dyDescent="0.3">
      <c r="A4" s="567" t="s">
        <v>911</v>
      </c>
      <c r="B4" s="133"/>
      <c r="C4" s="70"/>
      <c r="D4" s="70"/>
      <c r="E4" s="70"/>
      <c r="F4" s="632"/>
      <c r="G4" s="569" t="s">
        <v>55</v>
      </c>
      <c r="H4" s="570">
        <v>62907.9</v>
      </c>
    </row>
    <row r="5" spans="1:8" x14ac:dyDescent="0.3">
      <c r="A5" s="134"/>
      <c r="B5" s="135" t="s">
        <v>84</v>
      </c>
      <c r="C5" s="136" t="s">
        <v>86</v>
      </c>
      <c r="D5" s="136" t="s">
        <v>83</v>
      </c>
      <c r="E5" s="136" t="s">
        <v>108</v>
      </c>
      <c r="F5" s="136" t="s">
        <v>884</v>
      </c>
      <c r="G5" s="137" t="s">
        <v>109</v>
      </c>
      <c r="H5" s="60" t="s">
        <v>89</v>
      </c>
    </row>
    <row r="6" spans="1:8" x14ac:dyDescent="0.3">
      <c r="A6" s="134">
        <v>1</v>
      </c>
      <c r="B6" s="138">
        <v>45751</v>
      </c>
      <c r="C6" s="43" t="s">
        <v>968</v>
      </c>
      <c r="D6" s="43" t="s">
        <v>970</v>
      </c>
      <c r="E6" s="742">
        <v>16477.5</v>
      </c>
      <c r="F6" s="61"/>
      <c r="G6" s="61"/>
      <c r="H6" s="139">
        <f>SUM(H4,E6)-G6</f>
        <v>79385.399999999994</v>
      </c>
    </row>
    <row r="7" spans="1:8" x14ac:dyDescent="0.3">
      <c r="A7" s="134">
        <f t="shared" ref="A7:A37" si="0">A6+1</f>
        <v>2</v>
      </c>
      <c r="B7" s="138">
        <v>45756</v>
      </c>
      <c r="C7" s="43" t="s">
        <v>969</v>
      </c>
      <c r="D7" s="43" t="s">
        <v>971</v>
      </c>
      <c r="E7" s="742">
        <v>54.41</v>
      </c>
      <c r="F7" s="61">
        <v>54.41</v>
      </c>
      <c r="G7" s="61"/>
      <c r="H7" s="139">
        <f>SUM(H6,E7)-G7</f>
        <v>79439.81</v>
      </c>
    </row>
    <row r="8" spans="1:8" x14ac:dyDescent="0.3">
      <c r="A8" s="134">
        <f t="shared" si="0"/>
        <v>3</v>
      </c>
      <c r="B8" s="138">
        <v>45762</v>
      </c>
      <c r="C8" s="43" t="s">
        <v>972</v>
      </c>
      <c r="D8" s="43" t="s">
        <v>973</v>
      </c>
      <c r="E8" s="742">
        <v>69690</v>
      </c>
      <c r="F8" s="61"/>
      <c r="G8" s="61"/>
      <c r="H8" s="139">
        <f t="shared" ref="H8:H37" si="1">SUM(H7,E8)-G8</f>
        <v>149129.81</v>
      </c>
    </row>
    <row r="9" spans="1:8" x14ac:dyDescent="0.3">
      <c r="A9" s="134">
        <f t="shared" si="0"/>
        <v>4</v>
      </c>
      <c r="B9" s="138">
        <v>45778</v>
      </c>
      <c r="C9" s="43" t="s">
        <v>974</v>
      </c>
      <c r="D9" s="43" t="s">
        <v>949</v>
      </c>
      <c r="E9" s="61"/>
      <c r="F9" s="61"/>
      <c r="G9" s="742">
        <v>25000</v>
      </c>
      <c r="H9" s="139">
        <f t="shared" si="1"/>
        <v>124129.81</v>
      </c>
    </row>
    <row r="10" spans="1:8" x14ac:dyDescent="0.3">
      <c r="A10" s="134">
        <f t="shared" si="0"/>
        <v>5</v>
      </c>
      <c r="B10" s="138">
        <v>45784</v>
      </c>
      <c r="C10" s="43" t="s">
        <v>1011</v>
      </c>
      <c r="D10" s="43" t="s">
        <v>975</v>
      </c>
      <c r="E10" s="742">
        <v>530</v>
      </c>
      <c r="F10" s="61"/>
      <c r="G10" s="61"/>
      <c r="H10" s="139">
        <f t="shared" si="1"/>
        <v>124659.81</v>
      </c>
    </row>
    <row r="11" spans="1:8" x14ac:dyDescent="0.3">
      <c r="A11" s="134">
        <f t="shared" si="0"/>
        <v>6</v>
      </c>
      <c r="B11" s="138">
        <v>45786</v>
      </c>
      <c r="C11" s="43" t="s">
        <v>969</v>
      </c>
      <c r="D11" s="43" t="s">
        <v>976</v>
      </c>
      <c r="E11" s="742">
        <v>97.3</v>
      </c>
      <c r="F11" s="61">
        <v>97.3</v>
      </c>
      <c r="G11" s="61"/>
      <c r="H11" s="139">
        <f t="shared" si="1"/>
        <v>124757.11</v>
      </c>
    </row>
    <row r="12" spans="1:8" x14ac:dyDescent="0.3">
      <c r="A12" s="134">
        <f t="shared" si="0"/>
        <v>7</v>
      </c>
      <c r="B12" s="138">
        <v>45817</v>
      </c>
      <c r="C12" s="43" t="s">
        <v>969</v>
      </c>
      <c r="D12" s="43" t="s">
        <v>1022</v>
      </c>
      <c r="E12" s="742">
        <v>93.65</v>
      </c>
      <c r="F12" s="61">
        <v>93.65</v>
      </c>
      <c r="G12" s="61"/>
      <c r="H12" s="139">
        <f t="shared" si="1"/>
        <v>124850.76</v>
      </c>
    </row>
    <row r="13" spans="1:8" x14ac:dyDescent="0.3">
      <c r="A13" s="134">
        <f t="shared" si="0"/>
        <v>8</v>
      </c>
      <c r="B13" s="138">
        <v>45834</v>
      </c>
      <c r="C13" s="43" t="s">
        <v>1024</v>
      </c>
      <c r="D13" s="43" t="s">
        <v>1023</v>
      </c>
      <c r="E13" s="742">
        <v>1422</v>
      </c>
      <c r="F13" s="61"/>
      <c r="G13" s="61"/>
      <c r="H13" s="139">
        <f t="shared" si="1"/>
        <v>126272.76</v>
      </c>
    </row>
    <row r="14" spans="1:8" x14ac:dyDescent="0.3">
      <c r="A14" s="134">
        <f t="shared" si="0"/>
        <v>9</v>
      </c>
      <c r="B14" s="138">
        <v>45841</v>
      </c>
      <c r="C14" s="43" t="s">
        <v>974</v>
      </c>
      <c r="D14" s="43" t="s">
        <v>1055</v>
      </c>
      <c r="E14" s="61"/>
      <c r="F14" s="61"/>
      <c r="G14" s="742">
        <v>25000</v>
      </c>
      <c r="H14" s="139">
        <f t="shared" si="1"/>
        <v>101272.76</v>
      </c>
    </row>
    <row r="15" spans="1:8" x14ac:dyDescent="0.3">
      <c r="A15" s="134">
        <f t="shared" si="0"/>
        <v>10</v>
      </c>
      <c r="B15" s="138">
        <v>45847</v>
      </c>
      <c r="C15" s="43" t="s">
        <v>969</v>
      </c>
      <c r="D15" s="43" t="s">
        <v>1080</v>
      </c>
      <c r="E15" s="742">
        <v>78.69</v>
      </c>
      <c r="F15" s="61">
        <v>78.69</v>
      </c>
      <c r="G15" s="61"/>
      <c r="H15" s="139">
        <f t="shared" si="1"/>
        <v>101351.45</v>
      </c>
    </row>
    <row r="16" spans="1:8" x14ac:dyDescent="0.3">
      <c r="A16" s="134">
        <f t="shared" si="0"/>
        <v>11</v>
      </c>
      <c r="B16" s="138">
        <v>45880</v>
      </c>
      <c r="C16" s="43" t="s">
        <v>969</v>
      </c>
      <c r="D16" s="43" t="s">
        <v>1081</v>
      </c>
      <c r="E16" s="742">
        <v>73.31</v>
      </c>
      <c r="F16" s="61">
        <v>73.31</v>
      </c>
      <c r="G16" s="61"/>
      <c r="H16" s="139">
        <f t="shared" si="1"/>
        <v>101424.76</v>
      </c>
    </row>
    <row r="17" spans="1:8" x14ac:dyDescent="0.3">
      <c r="A17" s="134">
        <f t="shared" si="0"/>
        <v>12</v>
      </c>
      <c r="B17" s="138">
        <v>45904</v>
      </c>
      <c r="C17" s="43" t="s">
        <v>974</v>
      </c>
      <c r="D17" s="43" t="s">
        <v>1105</v>
      </c>
      <c r="E17" s="61"/>
      <c r="F17" s="61"/>
      <c r="G17" s="742">
        <v>15000</v>
      </c>
      <c r="H17" s="139">
        <f t="shared" si="1"/>
        <v>86424.76</v>
      </c>
    </row>
    <row r="18" spans="1:8" x14ac:dyDescent="0.3">
      <c r="A18" s="134">
        <f t="shared" si="0"/>
        <v>13</v>
      </c>
      <c r="B18" s="138">
        <v>45909</v>
      </c>
      <c r="C18" s="43" t="s">
        <v>969</v>
      </c>
      <c r="D18" s="43" t="s">
        <v>1121</v>
      </c>
      <c r="E18" s="742">
        <v>60.84</v>
      </c>
      <c r="F18" s="61">
        <v>60.84</v>
      </c>
      <c r="G18" s="61"/>
      <c r="H18" s="139">
        <f t="shared" si="1"/>
        <v>86485.599999999991</v>
      </c>
    </row>
    <row r="19" spans="1:8" x14ac:dyDescent="0.3">
      <c r="A19" s="134">
        <f t="shared" si="0"/>
        <v>14</v>
      </c>
      <c r="B19" s="138">
        <v>45939</v>
      </c>
      <c r="C19" s="43" t="s">
        <v>969</v>
      </c>
      <c r="D19" s="43" t="s">
        <v>1171</v>
      </c>
      <c r="E19" s="742">
        <v>42.65</v>
      </c>
      <c r="F19" s="61">
        <v>42.65</v>
      </c>
      <c r="G19" s="61"/>
      <c r="H19" s="139">
        <f t="shared" si="1"/>
        <v>86528.249999999985</v>
      </c>
    </row>
    <row r="20" spans="1:8" x14ac:dyDescent="0.3">
      <c r="A20" s="134">
        <f t="shared" si="0"/>
        <v>15</v>
      </c>
      <c r="B20" s="138">
        <v>45967</v>
      </c>
      <c r="C20" s="43" t="s">
        <v>974</v>
      </c>
      <c r="D20" s="43" t="s">
        <v>1160</v>
      </c>
      <c r="E20" s="61"/>
      <c r="F20" s="61"/>
      <c r="G20" s="742">
        <v>15000</v>
      </c>
      <c r="H20" s="139">
        <f t="shared" si="1"/>
        <v>71528.249999999985</v>
      </c>
    </row>
    <row r="21" spans="1:8" x14ac:dyDescent="0.3">
      <c r="A21" s="134">
        <f t="shared" si="0"/>
        <v>16</v>
      </c>
      <c r="B21" s="138">
        <v>45971</v>
      </c>
      <c r="C21" s="43" t="s">
        <v>969</v>
      </c>
      <c r="D21" s="43" t="s">
        <v>1172</v>
      </c>
      <c r="E21" s="742">
        <v>44.28</v>
      </c>
      <c r="F21" s="61">
        <v>44.28</v>
      </c>
      <c r="G21" s="61"/>
      <c r="H21" s="139">
        <f t="shared" si="1"/>
        <v>71572.529999999984</v>
      </c>
    </row>
    <row r="22" spans="1:8" x14ac:dyDescent="0.3">
      <c r="A22" s="134">
        <f t="shared" si="0"/>
        <v>17</v>
      </c>
      <c r="B22" s="138">
        <v>46000</v>
      </c>
      <c r="C22" s="43" t="s">
        <v>969</v>
      </c>
      <c r="D22" s="43" t="s">
        <v>1237</v>
      </c>
      <c r="E22" s="742">
        <v>34.119999999999997</v>
      </c>
      <c r="F22" s="61">
        <v>34.119999999999997</v>
      </c>
      <c r="G22" s="61"/>
      <c r="H22" s="139">
        <f t="shared" si="1"/>
        <v>71606.64999999998</v>
      </c>
    </row>
    <row r="23" spans="1:8" x14ac:dyDescent="0.3">
      <c r="A23" s="134">
        <f t="shared" si="0"/>
        <v>18</v>
      </c>
      <c r="B23" s="138">
        <v>46031</v>
      </c>
      <c r="C23" s="43" t="s">
        <v>969</v>
      </c>
      <c r="D23" s="43" t="s">
        <v>1256</v>
      </c>
      <c r="E23" s="742">
        <v>36.49</v>
      </c>
      <c r="F23" s="61">
        <v>36.49</v>
      </c>
      <c r="G23" s="61"/>
      <c r="H23" s="139">
        <f t="shared" si="1"/>
        <v>71643.139999999985</v>
      </c>
    </row>
    <row r="24" spans="1:8" x14ac:dyDescent="0.3">
      <c r="A24" s="134">
        <f t="shared" si="0"/>
        <v>19</v>
      </c>
      <c r="B24" s="138">
        <v>46037</v>
      </c>
      <c r="C24" s="43" t="s">
        <v>974</v>
      </c>
      <c r="D24" s="43" t="s">
        <v>1255</v>
      </c>
      <c r="E24" s="61"/>
      <c r="F24" s="61"/>
      <c r="G24" s="742">
        <v>10000</v>
      </c>
      <c r="H24" s="139">
        <f t="shared" si="1"/>
        <v>61643.139999999985</v>
      </c>
    </row>
    <row r="25" spans="1:8" x14ac:dyDescent="0.3">
      <c r="A25" s="134">
        <f t="shared" si="0"/>
        <v>20</v>
      </c>
      <c r="B25" s="138">
        <v>46044</v>
      </c>
      <c r="C25" s="43" t="s">
        <v>1263</v>
      </c>
      <c r="D25" s="43" t="s">
        <v>1261</v>
      </c>
      <c r="E25" s="742">
        <v>29.04</v>
      </c>
      <c r="F25" s="61"/>
      <c r="G25" s="61"/>
      <c r="H25" s="139">
        <f t="shared" si="1"/>
        <v>61672.179999999986</v>
      </c>
    </row>
    <row r="26" spans="1:8" x14ac:dyDescent="0.3">
      <c r="A26" s="134">
        <f t="shared" si="0"/>
        <v>21</v>
      </c>
      <c r="B26" s="138">
        <v>46057</v>
      </c>
      <c r="C26" s="43" t="s">
        <v>974</v>
      </c>
      <c r="D26" s="142" t="s">
        <v>1280</v>
      </c>
      <c r="E26" s="140"/>
      <c r="F26" s="140"/>
      <c r="G26" s="875">
        <v>5000</v>
      </c>
      <c r="H26" s="139">
        <f t="shared" si="1"/>
        <v>56672.179999999986</v>
      </c>
    </row>
    <row r="27" spans="1:8" x14ac:dyDescent="0.3">
      <c r="A27" s="134">
        <f t="shared" si="0"/>
        <v>22</v>
      </c>
      <c r="B27" s="138">
        <v>46062</v>
      </c>
      <c r="C27" s="43" t="s">
        <v>969</v>
      </c>
      <c r="D27" s="142" t="s">
        <v>1281</v>
      </c>
      <c r="E27" s="875">
        <v>28.28</v>
      </c>
      <c r="F27" s="140">
        <v>28.28</v>
      </c>
      <c r="G27" s="140"/>
      <c r="H27" s="139">
        <f t="shared" si="1"/>
        <v>56700.459999999985</v>
      </c>
    </row>
    <row r="28" spans="1:8" x14ac:dyDescent="0.3">
      <c r="A28" s="134">
        <f t="shared" si="0"/>
        <v>23</v>
      </c>
      <c r="B28" s="138">
        <v>46086</v>
      </c>
      <c r="C28" s="43" t="s">
        <v>974</v>
      </c>
      <c r="D28" s="142" t="s">
        <v>1308</v>
      </c>
      <c r="E28" s="140"/>
      <c r="F28" s="140"/>
      <c r="G28" s="140">
        <v>10000</v>
      </c>
      <c r="H28" s="139">
        <f t="shared" si="1"/>
        <v>46700.459999999985</v>
      </c>
    </row>
    <row r="29" spans="1:8" x14ac:dyDescent="0.3">
      <c r="A29" s="134">
        <f t="shared" si="0"/>
        <v>24</v>
      </c>
      <c r="B29" s="138">
        <v>46090</v>
      </c>
      <c r="C29" s="43" t="s">
        <v>969</v>
      </c>
      <c r="D29" s="142" t="s">
        <v>1313</v>
      </c>
      <c r="E29" s="875">
        <v>21.06</v>
      </c>
      <c r="F29" s="140">
        <v>21.06</v>
      </c>
      <c r="G29" s="140"/>
      <c r="H29" s="139">
        <f t="shared" si="1"/>
        <v>46721.519999999982</v>
      </c>
    </row>
    <row r="30" spans="1:8" x14ac:dyDescent="0.3">
      <c r="A30" s="134">
        <f t="shared" si="0"/>
        <v>25</v>
      </c>
      <c r="B30" s="138"/>
      <c r="C30" s="43"/>
      <c r="D30" s="142"/>
      <c r="E30" s="140"/>
      <c r="F30" s="140"/>
      <c r="G30" s="140"/>
      <c r="H30" s="139">
        <f t="shared" si="1"/>
        <v>46721.519999999982</v>
      </c>
    </row>
    <row r="31" spans="1:8" x14ac:dyDescent="0.3">
      <c r="A31" s="134">
        <f t="shared" si="0"/>
        <v>26</v>
      </c>
      <c r="B31" s="138"/>
      <c r="C31" s="43"/>
      <c r="D31" s="142"/>
      <c r="E31" s="140"/>
      <c r="F31" s="140"/>
      <c r="G31" s="140"/>
      <c r="H31" s="139">
        <f t="shared" si="1"/>
        <v>46721.519999999982</v>
      </c>
    </row>
    <row r="32" spans="1:8" x14ac:dyDescent="0.3">
      <c r="A32" s="134">
        <f t="shared" si="0"/>
        <v>27</v>
      </c>
      <c r="B32" s="138"/>
      <c r="C32" s="43"/>
      <c r="D32" s="142"/>
      <c r="E32" s="140"/>
      <c r="F32" s="140"/>
      <c r="G32" s="140"/>
      <c r="H32" s="139">
        <f t="shared" si="1"/>
        <v>46721.519999999982</v>
      </c>
    </row>
    <row r="33" spans="1:8" x14ac:dyDescent="0.3">
      <c r="A33" s="134">
        <f t="shared" si="0"/>
        <v>28</v>
      </c>
      <c r="B33" s="138"/>
      <c r="C33" s="43"/>
      <c r="D33" s="142"/>
      <c r="E33" s="140"/>
      <c r="F33" s="140"/>
      <c r="G33" s="140"/>
      <c r="H33" s="139">
        <f t="shared" si="1"/>
        <v>46721.519999999982</v>
      </c>
    </row>
    <row r="34" spans="1:8" x14ac:dyDescent="0.3">
      <c r="A34" s="134">
        <f t="shared" si="0"/>
        <v>29</v>
      </c>
      <c r="B34" s="138"/>
      <c r="C34" s="43"/>
      <c r="D34" s="142"/>
      <c r="E34" s="140"/>
      <c r="F34" s="140"/>
      <c r="G34" s="140"/>
      <c r="H34" s="139">
        <f t="shared" si="1"/>
        <v>46721.519999999982</v>
      </c>
    </row>
    <row r="35" spans="1:8" x14ac:dyDescent="0.3">
      <c r="A35" s="134">
        <f t="shared" si="0"/>
        <v>30</v>
      </c>
      <c r="B35" s="138"/>
      <c r="C35" s="43"/>
      <c r="D35" s="142"/>
      <c r="E35" s="140"/>
      <c r="F35" s="140"/>
      <c r="G35" s="140"/>
      <c r="H35" s="139">
        <f t="shared" si="1"/>
        <v>46721.519999999982</v>
      </c>
    </row>
    <row r="36" spans="1:8" x14ac:dyDescent="0.3">
      <c r="A36" s="134">
        <f t="shared" si="0"/>
        <v>31</v>
      </c>
      <c r="B36" s="138"/>
      <c r="C36" s="43"/>
      <c r="D36" s="43"/>
      <c r="E36" s="310"/>
      <c r="F36" s="633"/>
      <c r="G36" s="140"/>
      <c r="H36" s="139">
        <f t="shared" si="1"/>
        <v>46721.519999999982</v>
      </c>
    </row>
    <row r="37" spans="1:8" x14ac:dyDescent="0.3">
      <c r="A37" s="134">
        <f t="shared" si="0"/>
        <v>32</v>
      </c>
      <c r="B37" s="138"/>
      <c r="C37" s="43"/>
      <c r="D37" s="43"/>
      <c r="E37" s="61"/>
      <c r="F37" s="140"/>
      <c r="G37" s="140"/>
      <c r="H37" s="139">
        <f t="shared" si="1"/>
        <v>46721.519999999982</v>
      </c>
    </row>
    <row r="38" spans="1:8" x14ac:dyDescent="0.3">
      <c r="A38" s="134"/>
      <c r="B38" s="138"/>
      <c r="C38" s="43"/>
      <c r="D38" s="142"/>
      <c r="E38" s="140">
        <f>SUM(E6:E37)</f>
        <v>88813.619999999981</v>
      </c>
      <c r="F38" s="140">
        <f>SUM(F6:F37)</f>
        <v>665.07999999999981</v>
      </c>
      <c r="G38" s="140">
        <f>SUM(G6:G36)</f>
        <v>105000</v>
      </c>
      <c r="H38" s="139"/>
    </row>
    <row r="39" spans="1:8" x14ac:dyDescent="0.3">
      <c r="A39" s="134"/>
      <c r="B39" s="141"/>
      <c r="C39" s="43"/>
      <c r="D39" s="142"/>
      <c r="E39" s="142"/>
      <c r="F39" s="142"/>
      <c r="G39" s="140"/>
      <c r="H39" s="143">
        <f>H4+E38-G38</f>
        <v>46721.51999999999</v>
      </c>
    </row>
    <row r="40" spans="1:8" x14ac:dyDescent="0.3">
      <c r="A40" s="144"/>
      <c r="B40" s="145"/>
      <c r="C40" s="146"/>
      <c r="D40" s="288"/>
      <c r="E40" s="147"/>
      <c r="F40" s="147"/>
      <c r="G40" s="147"/>
      <c r="H40" s="131"/>
    </row>
    <row r="41" spans="1:8" x14ac:dyDescent="0.3">
      <c r="A41" s="60"/>
      <c r="B41" s="132"/>
      <c r="C41" s="67"/>
      <c r="D41" s="67"/>
      <c r="E41" s="67"/>
      <c r="F41" s="67"/>
      <c r="G41" s="148"/>
      <c r="H41" s="131"/>
    </row>
  </sheetData>
  <pageMargins left="0.7" right="0.7" top="0.75" bottom="0.75" header="0.3" footer="0.3"/>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51"/>
  <sheetViews>
    <sheetView topLeftCell="A37" workbookViewId="0">
      <selection activeCell="E42" sqref="E42"/>
    </sheetView>
  </sheetViews>
  <sheetFormatPr defaultRowHeight="14.4" x14ac:dyDescent="0.3"/>
  <cols>
    <col min="1" max="1" width="15.33203125" customWidth="1"/>
    <col min="2" max="2" width="14.88671875" customWidth="1"/>
    <col min="3" max="3" width="25.109375" style="155" customWidth="1"/>
    <col min="4" max="4" width="21.21875" customWidth="1"/>
    <col min="5" max="5" width="22.6640625" customWidth="1"/>
    <col min="6" max="6" width="24.109375" style="159" bestFit="1" customWidth="1"/>
    <col min="8" max="8" width="11.33203125" bestFit="1" customWidth="1"/>
    <col min="11" max="12" width="9.109375" customWidth="1"/>
    <col min="15" max="15" width="12.6640625" bestFit="1" customWidth="1"/>
    <col min="16" max="16" width="12.88671875" bestFit="1" customWidth="1"/>
  </cols>
  <sheetData>
    <row r="1" spans="1:5" x14ac:dyDescent="0.3">
      <c r="A1" s="201"/>
    </row>
    <row r="2" spans="1:5" ht="17.399999999999999" x14ac:dyDescent="0.3">
      <c r="A2" s="734" t="s">
        <v>682</v>
      </c>
      <c r="B2" s="201"/>
      <c r="C2" s="543"/>
      <c r="D2" s="201"/>
      <c r="E2" s="543"/>
    </row>
    <row r="3" spans="1:5" ht="17.399999999999999" x14ac:dyDescent="0.3">
      <c r="A3" s="734"/>
      <c r="B3" s="201"/>
      <c r="C3" s="201"/>
      <c r="D3" s="201"/>
      <c r="E3" s="201"/>
    </row>
    <row r="4" spans="1:5" ht="17.399999999999999" x14ac:dyDescent="0.3">
      <c r="A4" s="734" t="s">
        <v>683</v>
      </c>
      <c r="B4" s="201"/>
      <c r="C4" s="543"/>
      <c r="D4" s="201"/>
      <c r="E4" s="543"/>
    </row>
    <row r="5" spans="1:5" ht="17.399999999999999" x14ac:dyDescent="0.3">
      <c r="A5" s="734"/>
      <c r="B5" s="201"/>
      <c r="C5" s="156"/>
      <c r="D5" s="156"/>
      <c r="E5" s="201"/>
    </row>
    <row r="6" spans="1:5" ht="19.8" x14ac:dyDescent="0.3">
      <c r="A6" s="734" t="s">
        <v>1316</v>
      </c>
      <c r="B6" s="201"/>
      <c r="C6" s="543"/>
      <c r="D6" s="201"/>
      <c r="E6" s="201"/>
    </row>
    <row r="7" spans="1:5" x14ac:dyDescent="0.3">
      <c r="A7" s="201"/>
      <c r="B7" s="201"/>
      <c r="C7" s="156"/>
      <c r="D7" s="156"/>
      <c r="E7" s="201"/>
    </row>
    <row r="8" spans="1:5" x14ac:dyDescent="0.3">
      <c r="A8" s="201"/>
      <c r="B8" s="201"/>
      <c r="C8" s="156"/>
      <c r="D8" s="156"/>
      <c r="E8" s="201"/>
    </row>
    <row r="9" spans="1:5" x14ac:dyDescent="0.3">
      <c r="A9" s="736">
        <v>2025</v>
      </c>
      <c r="B9" s="149"/>
      <c r="C9" s="156"/>
      <c r="D9" s="736">
        <v>2026</v>
      </c>
      <c r="E9" s="149"/>
    </row>
    <row r="10" spans="1:5" x14ac:dyDescent="0.3">
      <c r="A10" s="736"/>
      <c r="C10" s="563"/>
      <c r="D10" s="736"/>
    </row>
    <row r="11" spans="1:5" x14ac:dyDescent="0.3">
      <c r="A11" s="156"/>
      <c r="C11" s="156"/>
      <c r="D11" s="156"/>
    </row>
    <row r="12" spans="1:5" x14ac:dyDescent="0.3">
      <c r="A12" s="737"/>
      <c r="C12" s="563" t="s">
        <v>684</v>
      </c>
      <c r="D12" s="737"/>
    </row>
    <row r="13" spans="1:5" x14ac:dyDescent="0.3">
      <c r="A13" s="738">
        <v>66500</v>
      </c>
      <c r="C13" s="564" t="s">
        <v>6</v>
      </c>
      <c r="D13" s="738">
        <v>69690</v>
      </c>
    </row>
    <row r="14" spans="1:5" x14ac:dyDescent="0.3">
      <c r="A14" s="738">
        <v>94572.15</v>
      </c>
      <c r="C14" s="564" t="s">
        <v>685</v>
      </c>
      <c r="D14" s="738">
        <v>0</v>
      </c>
    </row>
    <row r="15" spans="1:5" x14ac:dyDescent="0.3">
      <c r="A15" s="738">
        <v>2164.75</v>
      </c>
      <c r="C15" s="564" t="s">
        <v>686</v>
      </c>
      <c r="D15" s="738">
        <f>665.08+2728.22</f>
        <v>3393.2999999999997</v>
      </c>
    </row>
    <row r="16" spans="1:5" x14ac:dyDescent="0.3">
      <c r="A16" s="738">
        <v>29.04</v>
      </c>
      <c r="C16" s="564" t="s">
        <v>687</v>
      </c>
      <c r="D16" s="738">
        <v>29.04</v>
      </c>
    </row>
    <row r="17" spans="1:5" x14ac:dyDescent="0.3">
      <c r="A17" s="738"/>
      <c r="C17" s="564" t="s">
        <v>1318</v>
      </c>
      <c r="D17" s="738">
        <v>1422</v>
      </c>
    </row>
    <row r="18" spans="1:5" x14ac:dyDescent="0.3">
      <c r="A18" s="738"/>
      <c r="C18" s="564" t="s">
        <v>1319</v>
      </c>
      <c r="D18" s="738">
        <v>530</v>
      </c>
    </row>
    <row r="19" spans="1:5" x14ac:dyDescent="0.3">
      <c r="A19" s="575">
        <f>SUM(A13:A17)</f>
        <v>163265.94</v>
      </c>
      <c r="C19" s="157"/>
      <c r="D19" s="575">
        <f>SUM(D13:D18)</f>
        <v>75064.34</v>
      </c>
    </row>
    <row r="20" spans="1:5" x14ac:dyDescent="0.3">
      <c r="A20" s="738"/>
      <c r="C20" s="564"/>
      <c r="D20" s="738"/>
    </row>
    <row r="21" spans="1:5" x14ac:dyDescent="0.3">
      <c r="A21" s="738"/>
      <c r="C21" s="564"/>
      <c r="D21" s="738"/>
    </row>
    <row r="22" spans="1:5" x14ac:dyDescent="0.3">
      <c r="A22" s="738"/>
      <c r="C22" s="564"/>
      <c r="D22" s="738"/>
    </row>
    <row r="23" spans="1:5" x14ac:dyDescent="0.3">
      <c r="A23" s="737"/>
      <c r="C23" s="563" t="s">
        <v>688</v>
      </c>
      <c r="D23" s="737"/>
    </row>
    <row r="24" spans="1:5" x14ac:dyDescent="0.3">
      <c r="A24" s="738"/>
      <c r="C24" s="564"/>
      <c r="D24" s="738"/>
    </row>
    <row r="25" spans="1:5" x14ac:dyDescent="0.3">
      <c r="A25" s="738">
        <f>0</f>
        <v>0</v>
      </c>
      <c r="B25" s="543" t="s">
        <v>689</v>
      </c>
      <c r="C25" s="564" t="s">
        <v>690</v>
      </c>
      <c r="D25">
        <v>0</v>
      </c>
      <c r="E25" s="543"/>
    </row>
    <row r="26" spans="1:5" x14ac:dyDescent="0.3">
      <c r="A26" s="738">
        <f>18119.2+1595.72+4607.22</f>
        <v>24322.140000000003</v>
      </c>
      <c r="B26" s="543" t="s">
        <v>691</v>
      </c>
      <c r="C26" s="564" t="s">
        <v>692</v>
      </c>
      <c r="D26" s="738">
        <f>18744.42+2451.62+4752.6</f>
        <v>25948.639999999999</v>
      </c>
      <c r="E26" s="543" t="s">
        <v>1354</v>
      </c>
    </row>
    <row r="27" spans="1:5" x14ac:dyDescent="0.3">
      <c r="A27" s="738">
        <v>1704.04</v>
      </c>
      <c r="B27" s="543" t="s">
        <v>693</v>
      </c>
      <c r="C27" s="564" t="s">
        <v>694</v>
      </c>
      <c r="D27" s="738">
        <f>674.71+320</f>
        <v>994.71</v>
      </c>
      <c r="E27" s="543" t="s">
        <v>693</v>
      </c>
    </row>
    <row r="28" spans="1:5" x14ac:dyDescent="0.3">
      <c r="A28" s="738">
        <v>220</v>
      </c>
      <c r="C28" s="564" t="s">
        <v>64</v>
      </c>
      <c r="D28" s="738">
        <v>517.14</v>
      </c>
    </row>
    <row r="29" spans="1:5" x14ac:dyDescent="0.3">
      <c r="A29" s="738">
        <v>639.35</v>
      </c>
      <c r="C29" s="564" t="s">
        <v>65</v>
      </c>
      <c r="D29" s="738">
        <v>907.97</v>
      </c>
    </row>
    <row r="30" spans="1:5" x14ac:dyDescent="0.3">
      <c r="A30" s="738">
        <v>76491.5</v>
      </c>
      <c r="C30" s="564" t="s">
        <v>695</v>
      </c>
      <c r="D30" s="738">
        <v>0</v>
      </c>
    </row>
    <row r="31" spans="1:5" x14ac:dyDescent="0.3">
      <c r="A31" s="738">
        <v>500</v>
      </c>
      <c r="C31" s="564" t="s">
        <v>128</v>
      </c>
      <c r="D31" s="738">
        <v>0</v>
      </c>
    </row>
    <row r="32" spans="1:5" x14ac:dyDescent="0.3">
      <c r="A32" s="738">
        <v>0</v>
      </c>
      <c r="C32" s="564" t="s">
        <v>696</v>
      </c>
      <c r="D32" s="738">
        <v>315</v>
      </c>
    </row>
    <row r="33" spans="1:5" x14ac:dyDescent="0.3">
      <c r="A33" s="738">
        <v>8175.22</v>
      </c>
      <c r="C33" s="564" t="s">
        <v>697</v>
      </c>
      <c r="D33" s="738">
        <v>8552.07</v>
      </c>
    </row>
    <row r="34" spans="1:5" x14ac:dyDescent="0.3">
      <c r="A34" s="738">
        <v>263</v>
      </c>
      <c r="C34" s="564" t="s">
        <v>698</v>
      </c>
      <c r="D34" s="738">
        <v>290</v>
      </c>
    </row>
    <row r="35" spans="1:5" x14ac:dyDescent="0.3">
      <c r="A35" s="738">
        <v>1111</v>
      </c>
      <c r="C35" s="564" t="s">
        <v>66</v>
      </c>
      <c r="D35" s="738">
        <f>4960+6000</f>
        <v>10960</v>
      </c>
    </row>
    <row r="36" spans="1:5" ht="28.8" x14ac:dyDescent="0.3">
      <c r="A36" s="738">
        <v>10302.64</v>
      </c>
      <c r="C36" s="564" t="s">
        <v>699</v>
      </c>
      <c r="D36" s="738">
        <f>13662.65+18681.7+705</f>
        <v>33049.35</v>
      </c>
      <c r="E36" s="311" t="s">
        <v>1357</v>
      </c>
    </row>
    <row r="37" spans="1:5" x14ac:dyDescent="0.3">
      <c r="A37" s="738">
        <v>680</v>
      </c>
      <c r="C37" s="564" t="s">
        <v>700</v>
      </c>
      <c r="D37" s="738">
        <v>680</v>
      </c>
    </row>
    <row r="38" spans="1:5" x14ac:dyDescent="0.3">
      <c r="A38" s="738">
        <v>632.21</v>
      </c>
      <c r="C38" s="564" t="s">
        <v>953</v>
      </c>
      <c r="D38" s="738">
        <f>133.17+500</f>
        <v>633.16999999999996</v>
      </c>
      <c r="E38" t="s">
        <v>1355</v>
      </c>
    </row>
    <row r="39" spans="1:5" x14ac:dyDescent="0.3">
      <c r="A39" s="738">
        <v>0</v>
      </c>
      <c r="C39" s="564" t="s">
        <v>701</v>
      </c>
      <c r="D39" s="738">
        <v>0</v>
      </c>
    </row>
    <row r="40" spans="1:5" x14ac:dyDescent="0.3">
      <c r="A40" s="738">
        <v>0</v>
      </c>
      <c r="C40" s="564" t="s">
        <v>702</v>
      </c>
      <c r="D40" s="738">
        <v>0</v>
      </c>
    </row>
    <row r="41" spans="1:5" x14ac:dyDescent="0.3">
      <c r="A41" s="738">
        <v>603.45000000000005</v>
      </c>
      <c r="C41" s="564" t="s">
        <v>703</v>
      </c>
      <c r="D41" s="738">
        <v>2858.83</v>
      </c>
    </row>
    <row r="42" spans="1:5" x14ac:dyDescent="0.3">
      <c r="A42" s="738">
        <v>7924.17</v>
      </c>
      <c r="C42" s="564" t="s">
        <v>954</v>
      </c>
      <c r="D42" s="738">
        <v>7650.18</v>
      </c>
    </row>
    <row r="43" spans="1:5" x14ac:dyDescent="0.3">
      <c r="A43" s="738">
        <v>0</v>
      </c>
      <c r="C43" s="564" t="s">
        <v>255</v>
      </c>
      <c r="D43" s="738">
        <v>0</v>
      </c>
    </row>
    <row r="44" spans="1:5" x14ac:dyDescent="0.3">
      <c r="A44" s="738">
        <v>0</v>
      </c>
      <c r="C44" s="564" t="s">
        <v>704</v>
      </c>
      <c r="D44" s="738">
        <v>0</v>
      </c>
    </row>
    <row r="45" spans="1:5" x14ac:dyDescent="0.3">
      <c r="A45" s="738">
        <v>0</v>
      </c>
      <c r="C45" s="564" t="s">
        <v>705</v>
      </c>
      <c r="D45" s="738">
        <v>0</v>
      </c>
    </row>
    <row r="46" spans="1:5" x14ac:dyDescent="0.3">
      <c r="A46" s="738">
        <v>1485</v>
      </c>
      <c r="C46" s="564" t="s">
        <v>247</v>
      </c>
      <c r="D46" s="738">
        <v>0</v>
      </c>
    </row>
    <row r="47" spans="1:5" x14ac:dyDescent="0.3">
      <c r="A47" s="738">
        <v>4.67</v>
      </c>
      <c r="C47" s="564" t="s">
        <v>195</v>
      </c>
      <c r="D47" s="738">
        <v>51.42</v>
      </c>
    </row>
    <row r="48" spans="1:5" x14ac:dyDescent="0.3">
      <c r="A48" s="738"/>
      <c r="C48" s="564" t="s">
        <v>782</v>
      </c>
      <c r="D48" s="738">
        <v>350</v>
      </c>
    </row>
    <row r="49" spans="1:4" x14ac:dyDescent="0.3">
      <c r="A49" s="737">
        <f>SUM(A25:A47)</f>
        <v>135058.39000000001</v>
      </c>
      <c r="C49" s="564"/>
      <c r="D49" s="737">
        <f>SUM(D26:D48)</f>
        <v>93758.48</v>
      </c>
    </row>
    <row r="50" spans="1:4" x14ac:dyDescent="0.3">
      <c r="A50" s="739"/>
      <c r="C50" s="564"/>
      <c r="D50" s="739"/>
    </row>
    <row r="51" spans="1:4" ht="27" x14ac:dyDescent="0.3">
      <c r="A51" s="737">
        <f>A19-A49</f>
        <v>28207.549999999988</v>
      </c>
      <c r="C51" s="565" t="s">
        <v>706</v>
      </c>
      <c r="D51" s="737">
        <f>D19-D49</f>
        <v>-18694.14</v>
      </c>
    </row>
  </sheetData>
  <pageMargins left="0.7" right="0.7" top="0.75" bottom="0.75" header="0.3" footer="0.3"/>
  <pageSetup paperSize="9" scale="94"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4"/>
  <sheetViews>
    <sheetView tabSelected="1" topLeftCell="A25" workbookViewId="0">
      <selection activeCell="G42" sqref="G42"/>
    </sheetView>
  </sheetViews>
  <sheetFormatPr defaultRowHeight="14.4" x14ac:dyDescent="0.3"/>
  <cols>
    <col min="1" max="1" width="13.33203125" customWidth="1"/>
    <col min="2" max="2" width="12.109375" customWidth="1"/>
    <col min="3" max="3" width="12.44140625" bestFit="1" customWidth="1"/>
    <col min="4" max="4" width="1.88671875" customWidth="1"/>
    <col min="5" max="5" width="38.6640625" style="3" bestFit="1" customWidth="1"/>
    <col min="6" max="6" width="1.88671875" customWidth="1"/>
    <col min="7" max="7" width="13.33203125" customWidth="1"/>
    <col min="8" max="8" width="12.109375" customWidth="1"/>
    <col min="9" max="9" width="12.44140625" bestFit="1" customWidth="1"/>
    <col min="13" max="13" width="13.88671875" customWidth="1"/>
    <col min="259" max="259" width="10.109375" bestFit="1" customWidth="1"/>
    <col min="264" max="264" width="10.109375" bestFit="1" customWidth="1"/>
    <col min="515" max="515" width="10.109375" bestFit="1" customWidth="1"/>
    <col min="520" max="520" width="10.109375" bestFit="1" customWidth="1"/>
    <col min="771" max="771" width="10.109375" bestFit="1" customWidth="1"/>
    <col min="776" max="776" width="10.109375" bestFit="1" customWidth="1"/>
    <col min="1027" max="1027" width="10.109375" bestFit="1" customWidth="1"/>
    <col min="1032" max="1032" width="10.109375" bestFit="1" customWidth="1"/>
    <col min="1283" max="1283" width="10.109375" bestFit="1" customWidth="1"/>
    <col min="1288" max="1288" width="10.109375" bestFit="1" customWidth="1"/>
    <col min="1539" max="1539" width="10.109375" bestFit="1" customWidth="1"/>
    <col min="1544" max="1544" width="10.109375" bestFit="1" customWidth="1"/>
    <col min="1795" max="1795" width="10.109375" bestFit="1" customWidth="1"/>
    <col min="1800" max="1800" width="10.109375" bestFit="1" customWidth="1"/>
    <col min="2051" max="2051" width="10.109375" bestFit="1" customWidth="1"/>
    <col min="2056" max="2056" width="10.109375" bestFit="1" customWidth="1"/>
    <col min="2307" max="2307" width="10.109375" bestFit="1" customWidth="1"/>
    <col min="2312" max="2312" width="10.109375" bestFit="1" customWidth="1"/>
    <col min="2563" max="2563" width="10.109375" bestFit="1" customWidth="1"/>
    <col min="2568" max="2568" width="10.109375" bestFit="1" customWidth="1"/>
    <col min="2819" max="2819" width="10.109375" bestFit="1" customWidth="1"/>
    <col min="2824" max="2824" width="10.109375" bestFit="1" customWidth="1"/>
    <col min="3075" max="3075" width="10.109375" bestFit="1" customWidth="1"/>
    <col min="3080" max="3080" width="10.109375" bestFit="1" customWidth="1"/>
    <col min="3331" max="3331" width="10.109375" bestFit="1" customWidth="1"/>
    <col min="3336" max="3336" width="10.109375" bestFit="1" customWidth="1"/>
    <col min="3587" max="3587" width="10.109375" bestFit="1" customWidth="1"/>
    <col min="3592" max="3592" width="10.109375" bestFit="1" customWidth="1"/>
    <col min="3843" max="3843" width="10.109375" bestFit="1" customWidth="1"/>
    <col min="3848" max="3848" width="10.109375" bestFit="1" customWidth="1"/>
    <col min="4099" max="4099" width="10.109375" bestFit="1" customWidth="1"/>
    <col min="4104" max="4104" width="10.109375" bestFit="1" customWidth="1"/>
    <col min="4355" max="4355" width="10.109375" bestFit="1" customWidth="1"/>
    <col min="4360" max="4360" width="10.109375" bestFit="1" customWidth="1"/>
    <col min="4611" max="4611" width="10.109375" bestFit="1" customWidth="1"/>
    <col min="4616" max="4616" width="10.109375" bestFit="1" customWidth="1"/>
    <col min="4867" max="4867" width="10.109375" bestFit="1" customWidth="1"/>
    <col min="4872" max="4872" width="10.109375" bestFit="1" customWidth="1"/>
    <col min="5123" max="5123" width="10.109375" bestFit="1" customWidth="1"/>
    <col min="5128" max="5128" width="10.109375" bestFit="1" customWidth="1"/>
    <col min="5379" max="5379" width="10.109375" bestFit="1" customWidth="1"/>
    <col min="5384" max="5384" width="10.109375" bestFit="1" customWidth="1"/>
    <col min="5635" max="5635" width="10.109375" bestFit="1" customWidth="1"/>
    <col min="5640" max="5640" width="10.109375" bestFit="1" customWidth="1"/>
    <col min="5891" max="5891" width="10.109375" bestFit="1" customWidth="1"/>
    <col min="5896" max="5896" width="10.109375" bestFit="1" customWidth="1"/>
    <col min="6147" max="6147" width="10.109375" bestFit="1" customWidth="1"/>
    <col min="6152" max="6152" width="10.109375" bestFit="1" customWidth="1"/>
    <col min="6403" max="6403" width="10.109375" bestFit="1" customWidth="1"/>
    <col min="6408" max="6408" width="10.109375" bestFit="1" customWidth="1"/>
    <col min="6659" max="6659" width="10.109375" bestFit="1" customWidth="1"/>
    <col min="6664" max="6664" width="10.109375" bestFit="1" customWidth="1"/>
    <col min="6915" max="6915" width="10.109375" bestFit="1" customWidth="1"/>
    <col min="6920" max="6920" width="10.109375" bestFit="1" customWidth="1"/>
    <col min="7171" max="7171" width="10.109375" bestFit="1" customWidth="1"/>
    <col min="7176" max="7176" width="10.109375" bestFit="1" customWidth="1"/>
    <col min="7427" max="7427" width="10.109375" bestFit="1" customWidth="1"/>
    <col min="7432" max="7432" width="10.109375" bestFit="1" customWidth="1"/>
    <col min="7683" max="7683" width="10.109375" bestFit="1" customWidth="1"/>
    <col min="7688" max="7688" width="10.109375" bestFit="1" customWidth="1"/>
    <col min="7939" max="7939" width="10.109375" bestFit="1" customWidth="1"/>
    <col min="7944" max="7944" width="10.109375" bestFit="1" customWidth="1"/>
    <col min="8195" max="8195" width="10.109375" bestFit="1" customWidth="1"/>
    <col min="8200" max="8200" width="10.109375" bestFit="1" customWidth="1"/>
    <col min="8451" max="8451" width="10.109375" bestFit="1" customWidth="1"/>
    <col min="8456" max="8456" width="10.109375" bestFit="1" customWidth="1"/>
    <col min="8707" max="8707" width="10.109375" bestFit="1" customWidth="1"/>
    <col min="8712" max="8712" width="10.109375" bestFit="1" customWidth="1"/>
    <col min="8963" max="8963" width="10.109375" bestFit="1" customWidth="1"/>
    <col min="8968" max="8968" width="10.109375" bestFit="1" customWidth="1"/>
    <col min="9219" max="9219" width="10.109375" bestFit="1" customWidth="1"/>
    <col min="9224" max="9224" width="10.109375" bestFit="1" customWidth="1"/>
    <col min="9475" max="9475" width="10.109375" bestFit="1" customWidth="1"/>
    <col min="9480" max="9480" width="10.109375" bestFit="1" customWidth="1"/>
    <col min="9731" max="9731" width="10.109375" bestFit="1" customWidth="1"/>
    <col min="9736" max="9736" width="10.109375" bestFit="1" customWidth="1"/>
    <col min="9987" max="9987" width="10.109375" bestFit="1" customWidth="1"/>
    <col min="9992" max="9992" width="10.109375" bestFit="1" customWidth="1"/>
    <col min="10243" max="10243" width="10.109375" bestFit="1" customWidth="1"/>
    <col min="10248" max="10248" width="10.109375" bestFit="1" customWidth="1"/>
    <col min="10499" max="10499" width="10.109375" bestFit="1" customWidth="1"/>
    <col min="10504" max="10504" width="10.109375" bestFit="1" customWidth="1"/>
    <col min="10755" max="10755" width="10.109375" bestFit="1" customWidth="1"/>
    <col min="10760" max="10760" width="10.109375" bestFit="1" customWidth="1"/>
    <col min="11011" max="11011" width="10.109375" bestFit="1" customWidth="1"/>
    <col min="11016" max="11016" width="10.109375" bestFit="1" customWidth="1"/>
    <col min="11267" max="11267" width="10.109375" bestFit="1" customWidth="1"/>
    <col min="11272" max="11272" width="10.109375" bestFit="1" customWidth="1"/>
    <col min="11523" max="11523" width="10.109375" bestFit="1" customWidth="1"/>
    <col min="11528" max="11528" width="10.109375" bestFit="1" customWidth="1"/>
    <col min="11779" max="11779" width="10.109375" bestFit="1" customWidth="1"/>
    <col min="11784" max="11784" width="10.109375" bestFit="1" customWidth="1"/>
    <col min="12035" max="12035" width="10.109375" bestFit="1" customWidth="1"/>
    <col min="12040" max="12040" width="10.109375" bestFit="1" customWidth="1"/>
    <col min="12291" max="12291" width="10.109375" bestFit="1" customWidth="1"/>
    <col min="12296" max="12296" width="10.109375" bestFit="1" customWidth="1"/>
    <col min="12547" max="12547" width="10.109375" bestFit="1" customWidth="1"/>
    <col min="12552" max="12552" width="10.109375" bestFit="1" customWidth="1"/>
    <col min="12803" max="12803" width="10.109375" bestFit="1" customWidth="1"/>
    <col min="12808" max="12808" width="10.109375" bestFit="1" customWidth="1"/>
    <col min="13059" max="13059" width="10.109375" bestFit="1" customWidth="1"/>
    <col min="13064" max="13064" width="10.109375" bestFit="1" customWidth="1"/>
    <col min="13315" max="13315" width="10.109375" bestFit="1" customWidth="1"/>
    <col min="13320" max="13320" width="10.109375" bestFit="1" customWidth="1"/>
    <col min="13571" max="13571" width="10.109375" bestFit="1" customWidth="1"/>
    <col min="13576" max="13576" width="10.109375" bestFit="1" customWidth="1"/>
    <col min="13827" max="13827" width="10.109375" bestFit="1" customWidth="1"/>
    <col min="13832" max="13832" width="10.109375" bestFit="1" customWidth="1"/>
    <col min="14083" max="14083" width="10.109375" bestFit="1" customWidth="1"/>
    <col min="14088" max="14088" width="10.109375" bestFit="1" customWidth="1"/>
    <col min="14339" max="14339" width="10.109375" bestFit="1" customWidth="1"/>
    <col min="14344" max="14344" width="10.109375" bestFit="1" customWidth="1"/>
    <col min="14595" max="14595" width="10.109375" bestFit="1" customWidth="1"/>
    <col min="14600" max="14600" width="10.109375" bestFit="1" customWidth="1"/>
    <col min="14851" max="14851" width="10.109375" bestFit="1" customWidth="1"/>
    <col min="14856" max="14856" width="10.109375" bestFit="1" customWidth="1"/>
    <col min="15107" max="15107" width="10.109375" bestFit="1" customWidth="1"/>
    <col min="15112" max="15112" width="10.109375" bestFit="1" customWidth="1"/>
    <col min="15363" max="15363" width="10.109375" bestFit="1" customWidth="1"/>
    <col min="15368" max="15368" width="10.109375" bestFit="1" customWidth="1"/>
    <col min="15619" max="15619" width="10.109375" bestFit="1" customWidth="1"/>
    <col min="15624" max="15624" width="10.109375" bestFit="1" customWidth="1"/>
    <col min="15875" max="15875" width="10.109375" bestFit="1" customWidth="1"/>
    <col min="15880" max="15880" width="10.109375" bestFit="1" customWidth="1"/>
    <col min="16131" max="16131" width="10.109375" bestFit="1" customWidth="1"/>
    <col min="16136" max="16136" width="10.109375" bestFit="1" customWidth="1"/>
  </cols>
  <sheetData>
    <row r="1" spans="3:9" x14ac:dyDescent="0.3">
      <c r="E1" s="448" t="s">
        <v>682</v>
      </c>
    </row>
    <row r="3" spans="3:9" x14ac:dyDescent="0.3">
      <c r="E3" s="448" t="s">
        <v>1317</v>
      </c>
    </row>
    <row r="6" spans="3:9" x14ac:dyDescent="0.3">
      <c r="C6" s="149">
        <v>2025</v>
      </c>
      <c r="D6" s="566"/>
      <c r="E6" s="448"/>
      <c r="F6" s="566"/>
      <c r="I6" s="149">
        <v>2026</v>
      </c>
    </row>
    <row r="7" spans="3:9" x14ac:dyDescent="0.3">
      <c r="E7" s="448" t="s">
        <v>707</v>
      </c>
    </row>
    <row r="9" spans="3:9" x14ac:dyDescent="0.3">
      <c r="C9" s="151">
        <v>15006.08</v>
      </c>
      <c r="E9" s="3" t="s">
        <v>708</v>
      </c>
      <c r="I9" s="151">
        <v>7377.96</v>
      </c>
    </row>
    <row r="10" spans="3:9" x14ac:dyDescent="0.3">
      <c r="C10" s="151">
        <v>62907.9</v>
      </c>
      <c r="E10" s="3" t="s">
        <v>709</v>
      </c>
      <c r="I10" s="151">
        <v>46721.52</v>
      </c>
    </row>
    <row r="11" spans="3:9" x14ac:dyDescent="0.3">
      <c r="C11" s="151">
        <v>100000</v>
      </c>
      <c r="E11" s="3" t="s">
        <v>955</v>
      </c>
      <c r="I11" s="151">
        <v>0</v>
      </c>
    </row>
    <row r="12" spans="3:9" x14ac:dyDescent="0.3">
      <c r="C12" s="151">
        <v>164.38</v>
      </c>
      <c r="E12" s="3" t="s">
        <v>956</v>
      </c>
      <c r="I12" s="151">
        <v>892.6</v>
      </c>
    </row>
    <row r="13" spans="3:9" x14ac:dyDescent="0.3">
      <c r="C13" s="151"/>
      <c r="E13" s="3" t="s">
        <v>1356</v>
      </c>
      <c r="I13" s="151">
        <v>102000</v>
      </c>
    </row>
    <row r="14" spans="3:9" x14ac:dyDescent="0.3">
      <c r="C14" s="151">
        <v>16477.5</v>
      </c>
      <c r="E14" s="3" t="s">
        <v>957</v>
      </c>
      <c r="I14" s="151">
        <v>6074.94</v>
      </c>
    </row>
    <row r="16" spans="3:9" x14ac:dyDescent="0.3">
      <c r="C16" s="575">
        <f>SUM(C9:C15)</f>
        <v>194555.86</v>
      </c>
      <c r="D16" s="576"/>
      <c r="E16" s="577"/>
      <c r="F16" s="576"/>
      <c r="I16" s="575">
        <f>SUM(I9:I15)</f>
        <v>163067.01999999999</v>
      </c>
    </row>
    <row r="18" spans="1:8" x14ac:dyDescent="0.3">
      <c r="E18" s="448" t="s">
        <v>710</v>
      </c>
    </row>
    <row r="20" spans="1:8" ht="14.25" customHeight="1" x14ac:dyDescent="0.3"/>
    <row r="21" spans="1:8" x14ac:dyDescent="0.3">
      <c r="C21">
        <v>0</v>
      </c>
      <c r="E21" s="3" t="s">
        <v>711</v>
      </c>
      <c r="H21">
        <v>274.5</v>
      </c>
    </row>
    <row r="22" spans="1:8" x14ac:dyDescent="0.3">
      <c r="C22">
        <v>0</v>
      </c>
      <c r="E22" s="3" t="s">
        <v>712</v>
      </c>
      <c r="G22">
        <v>0</v>
      </c>
      <c r="H22">
        <v>0</v>
      </c>
    </row>
    <row r="23" spans="1:8" x14ac:dyDescent="0.3">
      <c r="E23" s="3" t="s">
        <v>713</v>
      </c>
    </row>
    <row r="24" spans="1:8" x14ac:dyDescent="0.3">
      <c r="A24">
        <v>680</v>
      </c>
      <c r="E24" s="3" t="s">
        <v>714</v>
      </c>
      <c r="H24">
        <v>680</v>
      </c>
    </row>
    <row r="25" spans="1:8" x14ac:dyDescent="0.3">
      <c r="A25">
        <v>4066.46</v>
      </c>
      <c r="E25" s="3" t="s">
        <v>715</v>
      </c>
      <c r="G25">
        <v>4066.46</v>
      </c>
    </row>
    <row r="26" spans="1:8" ht="14.25" customHeight="1" x14ac:dyDescent="0.3">
      <c r="A26" s="740">
        <v>2840</v>
      </c>
      <c r="B26">
        <f>SUM(A24:A26)</f>
        <v>7586.46</v>
      </c>
      <c r="E26" s="3" t="s">
        <v>716</v>
      </c>
      <c r="G26" s="740">
        <v>2840</v>
      </c>
      <c r="H26">
        <f>SUM(G25:G26)</f>
        <v>6906.46</v>
      </c>
    </row>
    <row r="27" spans="1:8" ht="14.25" customHeight="1" x14ac:dyDescent="0.3">
      <c r="D27" s="89"/>
      <c r="E27" s="149"/>
      <c r="F27" s="89"/>
    </row>
    <row r="28" spans="1:8" ht="14.25" customHeight="1" x14ac:dyDescent="0.3">
      <c r="E28" s="149" t="s">
        <v>717</v>
      </c>
    </row>
    <row r="29" spans="1:8" ht="14.25" customHeight="1" x14ac:dyDescent="0.3">
      <c r="B29" s="151">
        <v>362413.48</v>
      </c>
      <c r="E29" s="3" t="s">
        <v>718</v>
      </c>
      <c r="H29">
        <v>349344.28</v>
      </c>
    </row>
    <row r="30" spans="1:8" ht="14.25" customHeight="1" x14ac:dyDescent="0.3"/>
    <row r="31" spans="1:8" ht="14.25" customHeight="1" x14ac:dyDescent="0.3">
      <c r="B31" s="740"/>
      <c r="H31" s="740"/>
    </row>
    <row r="33" spans="3:13" x14ac:dyDescent="0.3">
      <c r="C33" s="157">
        <f>SUM(B26:B31)</f>
        <v>369999.94</v>
      </c>
      <c r="E33" s="149" t="s">
        <v>719</v>
      </c>
      <c r="I33" s="157">
        <f>SUM(H21:H31)</f>
        <v>357205.24000000005</v>
      </c>
    </row>
    <row r="36" spans="3:13" x14ac:dyDescent="0.3">
      <c r="C36" s="740"/>
      <c r="I36" s="740"/>
    </row>
    <row r="37" spans="3:13" x14ac:dyDescent="0.3">
      <c r="C37" s="157">
        <f>C16-C33</f>
        <v>-175444.08000000002</v>
      </c>
      <c r="D37" s="157"/>
      <c r="E37" s="448" t="s">
        <v>720</v>
      </c>
      <c r="F37" s="157"/>
      <c r="I37" s="157">
        <f>I16-I33</f>
        <v>-194138.22000000006</v>
      </c>
    </row>
    <row r="39" spans="3:13" ht="13.8" customHeight="1" x14ac:dyDescent="0.3">
      <c r="E39" s="448" t="s">
        <v>721</v>
      </c>
    </row>
    <row r="40" spans="3:13" ht="13.8" customHeight="1" x14ac:dyDescent="0.3">
      <c r="L40" t="s">
        <v>803</v>
      </c>
      <c r="M40" s="151">
        <f>I37-I44</f>
        <v>0</v>
      </c>
    </row>
    <row r="41" spans="3:13" x14ac:dyDescent="0.3">
      <c r="C41">
        <v>-203651.63</v>
      </c>
      <c r="E41" s="3" t="s">
        <v>722</v>
      </c>
      <c r="I41">
        <v>-175444.08</v>
      </c>
    </row>
    <row r="42" spans="3:13" x14ac:dyDescent="0.3">
      <c r="C42">
        <v>28207.55</v>
      </c>
      <c r="E42" s="3" t="s">
        <v>723</v>
      </c>
      <c r="G42" t="s">
        <v>162</v>
      </c>
      <c r="I42">
        <f>'P&amp;L'!D51</f>
        <v>-18694.14</v>
      </c>
    </row>
    <row r="44" spans="3:13" x14ac:dyDescent="0.3">
      <c r="C44" s="575">
        <f>SUM(C41:C42)</f>
        <v>-175444.08000000002</v>
      </c>
      <c r="E44" s="3" t="s">
        <v>724</v>
      </c>
      <c r="I44" s="575">
        <f>SUM(I41:I42)</f>
        <v>-194138.21999999997</v>
      </c>
    </row>
  </sheetData>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D129-2436-4CA4-BF4B-EB82D9C82703}">
  <sheetPr>
    <pageSetUpPr fitToPage="1"/>
  </sheetPr>
  <dimension ref="B3:G26"/>
  <sheetViews>
    <sheetView workbookViewId="0">
      <selection activeCell="F12" sqref="F12"/>
    </sheetView>
  </sheetViews>
  <sheetFormatPr defaultRowHeight="14.4" x14ac:dyDescent="0.3"/>
  <cols>
    <col min="2" max="2" width="28.5546875" customWidth="1"/>
    <col min="3" max="3" width="10.5546875" bestFit="1" customWidth="1"/>
    <col min="4" max="4" width="12.33203125" bestFit="1" customWidth="1"/>
    <col min="5" max="5" width="13.88671875" bestFit="1" customWidth="1"/>
    <col min="6" max="6" width="10.6640625" bestFit="1" customWidth="1"/>
    <col min="7" max="7" width="12.33203125" bestFit="1" customWidth="1"/>
  </cols>
  <sheetData>
    <row r="3" spans="2:7" x14ac:dyDescent="0.3">
      <c r="B3" s="150" t="s">
        <v>1006</v>
      </c>
      <c r="G3" s="151">
        <v>164.38</v>
      </c>
    </row>
    <row r="5" spans="2:7" x14ac:dyDescent="0.3">
      <c r="D5" s="150" t="s">
        <v>87</v>
      </c>
      <c r="E5" s="150" t="s">
        <v>1007</v>
      </c>
      <c r="F5" s="150" t="s">
        <v>88</v>
      </c>
      <c r="G5" s="150" t="s">
        <v>89</v>
      </c>
    </row>
    <row r="6" spans="2:7" x14ac:dyDescent="0.3">
      <c r="D6" t="s">
        <v>1085</v>
      </c>
      <c r="E6" t="s">
        <v>1086</v>
      </c>
      <c r="F6" t="s">
        <v>12</v>
      </c>
    </row>
    <row r="7" spans="2:7" x14ac:dyDescent="0.3">
      <c r="C7" s="152">
        <v>45838</v>
      </c>
      <c r="D7" s="151"/>
      <c r="E7" s="151">
        <v>0.96</v>
      </c>
      <c r="F7" s="151"/>
      <c r="G7" s="157">
        <f>G3+D7+E7-F7</f>
        <v>165.34</v>
      </c>
    </row>
    <row r="8" spans="2:7" x14ac:dyDescent="0.3">
      <c r="B8" s="152"/>
      <c r="C8" s="152">
        <v>45868</v>
      </c>
      <c r="D8" s="151">
        <v>100000</v>
      </c>
      <c r="E8" s="151">
        <v>1983.56</v>
      </c>
      <c r="F8" s="151"/>
      <c r="G8" s="157">
        <f t="shared" ref="G8:G13" si="0">G7+D8+E8-F8</f>
        <v>102148.9</v>
      </c>
    </row>
    <row r="9" spans="2:7" x14ac:dyDescent="0.3">
      <c r="B9" s="152"/>
      <c r="C9" s="152">
        <v>45930</v>
      </c>
      <c r="D9" s="151"/>
      <c r="E9" s="151">
        <v>397</v>
      </c>
      <c r="F9" s="151"/>
      <c r="G9" s="157">
        <f t="shared" si="0"/>
        <v>102545.9</v>
      </c>
    </row>
    <row r="10" spans="2:7" x14ac:dyDescent="0.3">
      <c r="C10" s="152">
        <v>45985</v>
      </c>
      <c r="D10" s="151">
        <v>-102000</v>
      </c>
      <c r="E10" s="151"/>
      <c r="F10" s="151"/>
      <c r="G10" s="157">
        <f t="shared" si="0"/>
        <v>545.89999999999418</v>
      </c>
    </row>
    <row r="11" spans="2:7" x14ac:dyDescent="0.3">
      <c r="C11" s="152">
        <v>46022</v>
      </c>
      <c r="D11" s="151"/>
      <c r="E11" s="151">
        <v>342.12</v>
      </c>
      <c r="F11" s="151"/>
      <c r="G11" s="157">
        <f t="shared" si="0"/>
        <v>888.01999999999418</v>
      </c>
    </row>
    <row r="12" spans="2:7" x14ac:dyDescent="0.3">
      <c r="C12" s="152">
        <v>46112</v>
      </c>
      <c r="D12" s="151"/>
      <c r="E12" s="151">
        <v>4.58</v>
      </c>
      <c r="F12" s="151"/>
      <c r="G12" s="157">
        <f t="shared" si="0"/>
        <v>892.59999999999422</v>
      </c>
    </row>
    <row r="13" spans="2:7" x14ac:dyDescent="0.3">
      <c r="D13" s="151"/>
      <c r="E13" s="151"/>
      <c r="F13" s="151"/>
      <c r="G13" s="157">
        <f t="shared" si="0"/>
        <v>892.59999999999422</v>
      </c>
    </row>
    <row r="14" spans="2:7" ht="15" thickBot="1" x14ac:dyDescent="0.35">
      <c r="D14" s="154">
        <f>SUM(D7:D13)</f>
        <v>-2000</v>
      </c>
      <c r="E14" s="154">
        <f>SUM(E7:E13)</f>
        <v>2728.22</v>
      </c>
      <c r="F14" s="154">
        <f>SUM(F7:F13)</f>
        <v>0</v>
      </c>
      <c r="G14" s="154">
        <f>G13</f>
        <v>892.59999999999422</v>
      </c>
    </row>
    <row r="15" spans="2:7" ht="15" thickTop="1" x14ac:dyDescent="0.3"/>
    <row r="18" spans="2:7" x14ac:dyDescent="0.3">
      <c r="B18" s="150" t="s">
        <v>1008</v>
      </c>
      <c r="E18" s="151" t="s">
        <v>1085</v>
      </c>
      <c r="F18" s="151"/>
      <c r="G18" s="151">
        <v>100000</v>
      </c>
    </row>
    <row r="19" spans="2:7" x14ac:dyDescent="0.3">
      <c r="B19" s="90" t="s">
        <v>1122</v>
      </c>
      <c r="C19" s="90"/>
      <c r="D19" s="90"/>
      <c r="E19" s="151"/>
      <c r="F19" s="151"/>
    </row>
    <row r="20" spans="2:7" ht="28.8" x14ac:dyDescent="0.3">
      <c r="B20" s="838" t="s">
        <v>1205</v>
      </c>
      <c r="E20" s="151"/>
      <c r="F20" s="151"/>
      <c r="G20" s="157">
        <f>G18+E20-F20</f>
        <v>100000</v>
      </c>
    </row>
    <row r="21" spans="2:7" x14ac:dyDescent="0.3">
      <c r="C21" s="152">
        <v>45868</v>
      </c>
      <c r="E21" s="151">
        <v>-100000</v>
      </c>
      <c r="F21" s="151"/>
      <c r="G21" s="151">
        <f>G20+E21-F21</f>
        <v>0</v>
      </c>
    </row>
    <row r="22" spans="2:7" x14ac:dyDescent="0.3">
      <c r="C22" s="152">
        <v>45985</v>
      </c>
      <c r="E22" s="151">
        <v>102000</v>
      </c>
      <c r="F22" s="151"/>
      <c r="G22" s="151">
        <f>G21+E22-F22</f>
        <v>102000</v>
      </c>
    </row>
    <row r="23" spans="2:7" x14ac:dyDescent="0.3">
      <c r="E23" s="151"/>
      <c r="F23" s="151"/>
      <c r="G23" s="151">
        <f>G22+E23-F23</f>
        <v>102000</v>
      </c>
    </row>
    <row r="24" spans="2:7" x14ac:dyDescent="0.3">
      <c r="E24" s="151"/>
      <c r="F24" s="151"/>
      <c r="G24" s="151">
        <f>G23+E24-F24</f>
        <v>102000</v>
      </c>
    </row>
    <row r="25" spans="2:7" ht="15" thickBot="1" x14ac:dyDescent="0.35">
      <c r="E25" s="154">
        <f>SUM(E20:E24)</f>
        <v>2000</v>
      </c>
      <c r="F25" s="154">
        <f>SUM(F20:F24)</f>
        <v>0</v>
      </c>
      <c r="G25" s="154">
        <f>G24</f>
        <v>102000</v>
      </c>
    </row>
    <row r="26" spans="2:7" ht="15" thickTop="1" x14ac:dyDescent="0.3"/>
  </sheetData>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K44"/>
  <sheetViews>
    <sheetView topLeftCell="A19" workbookViewId="0">
      <selection activeCell="I40" sqref="I40"/>
    </sheetView>
  </sheetViews>
  <sheetFormatPr defaultRowHeight="14.4" x14ac:dyDescent="0.3"/>
  <cols>
    <col min="4" max="4" width="15.33203125" customWidth="1"/>
    <col min="5" max="5" width="7" bestFit="1" customWidth="1"/>
    <col min="6" max="6" width="13.88671875" customWidth="1"/>
    <col min="7" max="7" width="13.6640625" customWidth="1"/>
    <col min="9" max="9" width="13.33203125" customWidth="1"/>
    <col min="11" max="11" width="14.33203125" customWidth="1"/>
  </cols>
  <sheetData>
    <row r="2" spans="2:7" x14ac:dyDescent="0.3">
      <c r="B2" s="150" t="s">
        <v>1321</v>
      </c>
    </row>
    <row r="4" spans="2:7" x14ac:dyDescent="0.3">
      <c r="B4" t="s">
        <v>1207</v>
      </c>
      <c r="G4" s="151">
        <v>102000</v>
      </c>
    </row>
    <row r="5" spans="2:7" x14ac:dyDescent="0.3">
      <c r="B5" t="s">
        <v>1206</v>
      </c>
      <c r="G5" s="151">
        <v>0</v>
      </c>
    </row>
    <row r="6" spans="2:7" x14ac:dyDescent="0.3">
      <c r="B6" t="s">
        <v>887</v>
      </c>
      <c r="G6" s="151">
        <v>892.6</v>
      </c>
    </row>
    <row r="7" spans="2:7" x14ac:dyDescent="0.3">
      <c r="B7" t="s">
        <v>110</v>
      </c>
      <c r="F7" s="114"/>
      <c r="G7" s="151">
        <v>46721.52</v>
      </c>
    </row>
    <row r="8" spans="2:7" x14ac:dyDescent="0.3">
      <c r="B8" t="s">
        <v>111</v>
      </c>
      <c r="F8" s="309">
        <v>7377.96</v>
      </c>
      <c r="G8" s="114"/>
    </row>
    <row r="9" spans="2:7" x14ac:dyDescent="0.3">
      <c r="F9" s="114"/>
      <c r="G9" s="114"/>
    </row>
    <row r="11" spans="2:7" x14ac:dyDescent="0.3">
      <c r="B11" t="s">
        <v>240</v>
      </c>
      <c r="F11" s="151"/>
    </row>
    <row r="12" spans="2:7" x14ac:dyDescent="0.3">
      <c r="D12" t="s">
        <v>1257</v>
      </c>
      <c r="E12" t="s">
        <v>1258</v>
      </c>
      <c r="F12" s="151">
        <v>274.5</v>
      </c>
    </row>
    <row r="13" spans="2:7" x14ac:dyDescent="0.3">
      <c r="F13" s="151"/>
    </row>
    <row r="14" spans="2:7" x14ac:dyDescent="0.3">
      <c r="F14" s="574"/>
      <c r="G14" s="151"/>
    </row>
    <row r="15" spans="2:7" x14ac:dyDescent="0.3">
      <c r="D15" s="636"/>
      <c r="F15" s="151">
        <f>SUM(F12:F14)</f>
        <v>274.5</v>
      </c>
    </row>
    <row r="17" spans="2:11" x14ac:dyDescent="0.3">
      <c r="E17" s="114"/>
      <c r="F17" s="114"/>
    </row>
    <row r="18" spans="2:11" x14ac:dyDescent="0.3">
      <c r="F18" s="114"/>
    </row>
    <row r="19" spans="2:11" x14ac:dyDescent="0.3">
      <c r="B19" t="s">
        <v>241</v>
      </c>
      <c r="F19" s="114"/>
    </row>
    <row r="20" spans="2:11" x14ac:dyDescent="0.3">
      <c r="F20" s="574">
        <f>SUM(E20:E20)</f>
        <v>0</v>
      </c>
      <c r="K20" s="5"/>
    </row>
    <row r="21" spans="2:11" x14ac:dyDescent="0.3">
      <c r="F21" s="114">
        <f>SUM(F19:F20)</f>
        <v>0</v>
      </c>
      <c r="G21" s="114">
        <f>F8-F15+F21</f>
        <v>7103.46</v>
      </c>
      <c r="K21" s="5"/>
    </row>
    <row r="22" spans="2:11" x14ac:dyDescent="0.3">
      <c r="F22" s="114"/>
      <c r="K22" s="5"/>
    </row>
    <row r="23" spans="2:11" x14ac:dyDescent="0.3">
      <c r="B23" t="s">
        <v>112</v>
      </c>
      <c r="G23" s="151"/>
    </row>
    <row r="25" spans="2:11" ht="15" thickBot="1" x14ac:dyDescent="0.35">
      <c r="B25" s="89" t="s">
        <v>113</v>
      </c>
      <c r="G25" s="743">
        <f>SUM(G4:G21)</f>
        <v>156717.57999999999</v>
      </c>
    </row>
    <row r="26" spans="2:11" ht="15" thickTop="1" x14ac:dyDescent="0.3"/>
    <row r="27" spans="2:11" x14ac:dyDescent="0.3">
      <c r="B27" s="89" t="s">
        <v>1056</v>
      </c>
    </row>
    <row r="28" spans="2:11" x14ac:dyDescent="0.3">
      <c r="B28" s="89"/>
    </row>
    <row r="29" spans="2:11" x14ac:dyDescent="0.3">
      <c r="B29" t="s">
        <v>1009</v>
      </c>
      <c r="F29" s="151">
        <v>100000</v>
      </c>
    </row>
    <row r="30" spans="2:11" x14ac:dyDescent="0.3">
      <c r="B30" t="s">
        <v>1010</v>
      </c>
      <c r="F30" s="151">
        <v>164.38</v>
      </c>
    </row>
    <row r="31" spans="2:11" x14ac:dyDescent="0.3">
      <c r="B31" t="s">
        <v>114</v>
      </c>
      <c r="F31" s="151">
        <v>15006.08</v>
      </c>
      <c r="G31" s="151"/>
    </row>
    <row r="32" spans="2:11" ht="16.2" x14ac:dyDescent="0.45">
      <c r="B32" t="s">
        <v>115</v>
      </c>
      <c r="F32" s="153">
        <v>62907.9</v>
      </c>
      <c r="G32" s="151">
        <f>SUM(F29:F32)</f>
        <v>178078.36000000002</v>
      </c>
    </row>
    <row r="33" spans="2:11" x14ac:dyDescent="0.3">
      <c r="G33" s="151"/>
    </row>
    <row r="34" spans="2:11" x14ac:dyDescent="0.3">
      <c r="B34" s="89" t="s">
        <v>116</v>
      </c>
    </row>
    <row r="35" spans="2:11" x14ac:dyDescent="0.3">
      <c r="B35" t="s">
        <v>951</v>
      </c>
      <c r="F35" s="151">
        <v>88813.62</v>
      </c>
    </row>
    <row r="36" spans="2:11" x14ac:dyDescent="0.3">
      <c r="B36" t="s">
        <v>952</v>
      </c>
      <c r="F36" s="574">
        <v>2728.22</v>
      </c>
      <c r="G36" s="151">
        <f>SUM(F35:F36)</f>
        <v>91541.84</v>
      </c>
    </row>
    <row r="37" spans="2:11" x14ac:dyDescent="0.3">
      <c r="G37" s="151"/>
    </row>
    <row r="38" spans="2:11" x14ac:dyDescent="0.3">
      <c r="G38" s="151"/>
    </row>
    <row r="39" spans="2:11" x14ac:dyDescent="0.3">
      <c r="B39" s="89" t="s">
        <v>117</v>
      </c>
      <c r="G39" s="151">
        <v>112902.62</v>
      </c>
      <c r="I39" s="114"/>
    </row>
    <row r="40" spans="2:11" x14ac:dyDescent="0.3">
      <c r="G40" s="151"/>
      <c r="I40" s="114"/>
    </row>
    <row r="41" spans="2:11" x14ac:dyDescent="0.3">
      <c r="G41" s="151"/>
      <c r="I41" s="114"/>
    </row>
    <row r="43" spans="2:11" ht="15" thickBot="1" x14ac:dyDescent="0.35">
      <c r="B43" s="89" t="s">
        <v>1322</v>
      </c>
      <c r="C43" s="89"/>
      <c r="D43" s="89"/>
      <c r="E43" s="89"/>
      <c r="F43" s="89"/>
      <c r="G43" s="154">
        <f>G32+G36-G39</f>
        <v>156717.58000000002</v>
      </c>
      <c r="J43" t="s">
        <v>803</v>
      </c>
      <c r="K43" s="151">
        <f>G25-G43</f>
        <v>0</v>
      </c>
    </row>
    <row r="44" spans="2:11" ht="15" thickTop="1" x14ac:dyDescent="0.3"/>
  </sheetData>
  <phoneticPr fontId="47" type="noConversion"/>
  <pageMargins left="0.70866141732283472" right="0.70866141732283472" top="0.74803149606299213" bottom="0.74803149606299213" header="0.31496062992125984" footer="0.31496062992125984"/>
  <pageSetup paperSize="9" orientation="portrait" r:id="rId1"/>
  <headerFooter>
    <oddHeader xml:space="preserve">&amp;CWest Coker Parish Council 
</oddHeader>
    <oddFooter>&amp;L&amp;F&amp;C&amp;P/&amp;N&amp;R&amp;D&amp;T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DBB3-0369-45CF-8F91-79745D328D3B}">
  <dimension ref="A1:AE74"/>
  <sheetViews>
    <sheetView workbookViewId="0">
      <pane xSplit="5" ySplit="2" topLeftCell="F64" activePane="bottomRight" state="frozen"/>
      <selection pane="topRight" activeCell="G1" sqref="G1"/>
      <selection pane="bottomLeft" activeCell="A3" sqref="A3"/>
      <selection pane="bottomRight" sqref="A1:XFD1048576"/>
    </sheetView>
  </sheetViews>
  <sheetFormatPr defaultRowHeight="15.6" x14ac:dyDescent="0.3"/>
  <cols>
    <col min="1" max="1" width="2.77734375" customWidth="1"/>
    <col min="2" max="2" width="13.5546875" customWidth="1"/>
    <col min="3" max="3" width="13.109375" customWidth="1"/>
    <col min="4" max="4" width="37.109375" customWidth="1"/>
    <col min="5" max="5" width="13.44140625" style="6" bestFit="1" customWidth="1"/>
    <col min="6" max="6" width="14.77734375" style="149" customWidth="1"/>
    <col min="7" max="7" width="3.77734375" customWidth="1"/>
    <col min="8" max="8" width="15.44140625" style="379" customWidth="1"/>
    <col min="9" max="9" width="15.44140625" style="964" customWidth="1"/>
    <col min="10" max="27" width="15.44140625" style="379" customWidth="1"/>
    <col min="28" max="28" width="15.44140625" customWidth="1"/>
    <col min="29" max="29" width="10.109375" bestFit="1" customWidth="1"/>
    <col min="30" max="30" width="9.109375" customWidth="1"/>
    <col min="31" max="31" width="10.109375" style="121" bestFit="1" customWidth="1"/>
  </cols>
  <sheetData>
    <row r="1" spans="2:28" x14ac:dyDescent="0.3">
      <c r="B1" s="584" t="s">
        <v>912</v>
      </c>
      <c r="C1" s="379"/>
      <c r="D1" s="880" t="s">
        <v>888</v>
      </c>
      <c r="E1" s="881"/>
      <c r="F1" s="882" t="s">
        <v>55</v>
      </c>
      <c r="H1" s="907"/>
      <c r="I1" s="907"/>
      <c r="J1" s="883"/>
      <c r="K1" s="883"/>
      <c r="L1" s="883"/>
      <c r="M1" s="883"/>
      <c r="N1" s="883"/>
      <c r="O1" s="883"/>
      <c r="P1" s="908"/>
      <c r="Q1" s="908"/>
      <c r="R1" s="908"/>
      <c r="S1" s="909"/>
      <c r="T1" s="909"/>
      <c r="U1" s="910"/>
      <c r="V1" s="910"/>
      <c r="W1" s="910"/>
      <c r="X1" s="909"/>
      <c r="Y1" s="909"/>
      <c r="Z1" s="909"/>
      <c r="AA1" s="909"/>
      <c r="AB1" s="101"/>
    </row>
    <row r="2" spans="2:28" s="104" customFormat="1" ht="46.8" x14ac:dyDescent="0.3">
      <c r="B2" s="884" t="s">
        <v>84</v>
      </c>
      <c r="C2" s="885" t="s">
        <v>85</v>
      </c>
      <c r="D2" s="886" t="s">
        <v>86</v>
      </c>
      <c r="E2" s="887" t="s">
        <v>83</v>
      </c>
      <c r="F2" s="888" t="s">
        <v>141</v>
      </c>
      <c r="G2" s="102"/>
      <c r="H2" s="911" t="s">
        <v>90</v>
      </c>
      <c r="I2" s="912" t="s">
        <v>91</v>
      </c>
      <c r="J2" s="912" t="s">
        <v>93</v>
      </c>
      <c r="K2" s="916" t="s">
        <v>94</v>
      </c>
      <c r="L2" s="917" t="s">
        <v>59</v>
      </c>
      <c r="M2" s="918" t="s">
        <v>1232</v>
      </c>
      <c r="N2" s="918" t="s">
        <v>101</v>
      </c>
      <c r="O2" s="912" t="s">
        <v>102</v>
      </c>
      <c r="P2" s="912" t="s">
        <v>159</v>
      </c>
      <c r="Q2" s="920" t="s">
        <v>1026</v>
      </c>
      <c r="R2" s="920" t="s">
        <v>1027</v>
      </c>
      <c r="S2" s="922" t="s">
        <v>103</v>
      </c>
      <c r="T2" s="922" t="s">
        <v>1015</v>
      </c>
      <c r="U2" s="923" t="s">
        <v>668</v>
      </c>
      <c r="V2" s="923" t="s">
        <v>663</v>
      </c>
      <c r="W2" s="923" t="s">
        <v>681</v>
      </c>
      <c r="X2" s="922" t="s">
        <v>664</v>
      </c>
      <c r="Y2" s="922" t="s">
        <v>297</v>
      </c>
      <c r="Z2" s="924" t="s">
        <v>807</v>
      </c>
      <c r="AA2" s="925" t="s">
        <v>296</v>
      </c>
    </row>
    <row r="3" spans="2:28" s="160" customFormat="1" x14ac:dyDescent="0.3">
      <c r="B3" s="890">
        <v>46037</v>
      </c>
      <c r="C3" s="891">
        <v>131254412</v>
      </c>
      <c r="D3" s="892" t="s">
        <v>1259</v>
      </c>
      <c r="E3" s="887" t="s">
        <v>1260</v>
      </c>
      <c r="F3" s="894">
        <v>97.78</v>
      </c>
      <c r="G3" s="423"/>
      <c r="H3" s="896">
        <f t="shared" ref="H3:H34" si="0">SUM(I3:AA3)</f>
        <v>97.78</v>
      </c>
      <c r="I3" s="926">
        <v>16.3</v>
      </c>
      <c r="J3" s="926"/>
      <c r="K3" s="926"/>
      <c r="L3" s="926"/>
      <c r="M3" s="927"/>
      <c r="N3" s="928"/>
      <c r="O3" s="926"/>
      <c r="P3" s="926"/>
      <c r="Q3" s="929"/>
      <c r="R3" s="929"/>
      <c r="S3" s="930"/>
      <c r="T3" s="930"/>
      <c r="U3" s="930"/>
      <c r="V3" s="930"/>
      <c r="W3" s="930"/>
      <c r="X3" s="930">
        <v>81.48</v>
      </c>
      <c r="Y3" s="929"/>
      <c r="Z3" s="931"/>
      <c r="AA3" s="932"/>
    </row>
    <row r="4" spans="2:28" s="160" customFormat="1" x14ac:dyDescent="0.3">
      <c r="B4" s="890">
        <v>45778</v>
      </c>
      <c r="C4" s="891">
        <v>131505120</v>
      </c>
      <c r="D4" s="892" t="s">
        <v>938</v>
      </c>
      <c r="E4" s="887" t="s">
        <v>939</v>
      </c>
      <c r="F4" s="894">
        <v>161.35</v>
      </c>
      <c r="G4" s="423"/>
      <c r="H4" s="896">
        <f t="shared" si="0"/>
        <v>161.35000000000002</v>
      </c>
      <c r="I4" s="926">
        <v>26.89</v>
      </c>
      <c r="J4" s="926"/>
      <c r="K4" s="926"/>
      <c r="L4" s="926"/>
      <c r="M4" s="927"/>
      <c r="N4" s="928"/>
      <c r="O4" s="926"/>
      <c r="P4" s="926"/>
      <c r="Q4" s="929"/>
      <c r="R4" s="929"/>
      <c r="S4" s="930"/>
      <c r="T4" s="930"/>
      <c r="U4" s="930"/>
      <c r="V4" s="930"/>
      <c r="W4" s="930"/>
      <c r="X4" s="930"/>
      <c r="Y4" s="929">
        <v>134.46</v>
      </c>
      <c r="Z4" s="931"/>
      <c r="AA4" s="932"/>
    </row>
    <row r="5" spans="2:28" s="160" customFormat="1" x14ac:dyDescent="0.3">
      <c r="B5" s="890">
        <v>45813</v>
      </c>
      <c r="C5" s="891">
        <v>131505120</v>
      </c>
      <c r="D5" s="892" t="s">
        <v>994</v>
      </c>
      <c r="E5" s="887" t="s">
        <v>995</v>
      </c>
      <c r="F5" s="894">
        <v>806.76</v>
      </c>
      <c r="G5" s="423"/>
      <c r="H5" s="896">
        <f t="shared" si="0"/>
        <v>806.76</v>
      </c>
      <c r="I5" s="926">
        <v>134.46</v>
      </c>
      <c r="J5" s="926"/>
      <c r="K5" s="926"/>
      <c r="L5" s="926"/>
      <c r="M5" s="927"/>
      <c r="N5" s="928"/>
      <c r="O5" s="926"/>
      <c r="P5" s="926"/>
      <c r="Q5" s="929"/>
      <c r="R5" s="929"/>
      <c r="S5" s="930"/>
      <c r="T5" s="930"/>
      <c r="U5" s="930"/>
      <c r="V5" s="930"/>
      <c r="W5" s="930"/>
      <c r="X5" s="930"/>
      <c r="Y5" s="929">
        <v>672.3</v>
      </c>
      <c r="Z5" s="931"/>
      <c r="AA5" s="932"/>
    </row>
    <row r="6" spans="2:28" s="160" customFormat="1" x14ac:dyDescent="0.3">
      <c r="B6" s="890">
        <v>45847</v>
      </c>
      <c r="C6" s="891">
        <v>131505120</v>
      </c>
      <c r="D6" s="892" t="s">
        <v>1061</v>
      </c>
      <c r="E6" s="887" t="s">
        <v>1060</v>
      </c>
      <c r="F6" s="894">
        <v>322.7</v>
      </c>
      <c r="G6" s="423"/>
      <c r="H6" s="896">
        <f t="shared" si="0"/>
        <v>322.70000000000005</v>
      </c>
      <c r="I6" s="926">
        <v>53.78</v>
      </c>
      <c r="J6" s="926"/>
      <c r="K6" s="926"/>
      <c r="L6" s="926"/>
      <c r="M6" s="927"/>
      <c r="N6" s="928"/>
      <c r="O6" s="926"/>
      <c r="P6" s="926"/>
      <c r="Q6" s="929"/>
      <c r="R6" s="929"/>
      <c r="S6" s="930"/>
      <c r="T6" s="930"/>
      <c r="U6" s="930"/>
      <c r="V6" s="930"/>
      <c r="W6" s="930"/>
      <c r="X6" s="930"/>
      <c r="Y6" s="929">
        <v>268.92</v>
      </c>
      <c r="Z6" s="931"/>
      <c r="AA6" s="932"/>
    </row>
    <row r="7" spans="2:28" s="160" customFormat="1" x14ac:dyDescent="0.3">
      <c r="B7" s="890">
        <v>45932</v>
      </c>
      <c r="C7" s="891">
        <v>131505120</v>
      </c>
      <c r="D7" s="892" t="s">
        <v>1130</v>
      </c>
      <c r="E7" s="887" t="s">
        <v>1131</v>
      </c>
      <c r="F7" s="894">
        <v>484.06</v>
      </c>
      <c r="G7" s="423"/>
      <c r="H7" s="896">
        <f t="shared" si="0"/>
        <v>484.06</v>
      </c>
      <c r="I7" s="926">
        <v>80.680000000000007</v>
      </c>
      <c r="J7" s="926"/>
      <c r="K7" s="926"/>
      <c r="L7" s="926"/>
      <c r="M7" s="927"/>
      <c r="N7" s="928"/>
      <c r="O7" s="926"/>
      <c r="P7" s="926"/>
      <c r="Q7" s="929"/>
      <c r="R7" s="929"/>
      <c r="S7" s="930"/>
      <c r="T7" s="930"/>
      <c r="U7" s="930"/>
      <c r="V7" s="930"/>
      <c r="W7" s="930"/>
      <c r="X7" s="930"/>
      <c r="Y7" s="929">
        <v>403.38</v>
      </c>
      <c r="Z7" s="931"/>
      <c r="AA7" s="932"/>
    </row>
    <row r="8" spans="2:28" s="160" customFormat="1" x14ac:dyDescent="0.3">
      <c r="B8" s="890">
        <v>45967</v>
      </c>
      <c r="C8" s="891">
        <v>131505120</v>
      </c>
      <c r="D8" s="892" t="s">
        <v>1152</v>
      </c>
      <c r="E8" s="887" t="s">
        <v>1151</v>
      </c>
      <c r="F8" s="894">
        <v>161.35</v>
      </c>
      <c r="G8" s="423"/>
      <c r="H8" s="896">
        <f t="shared" si="0"/>
        <v>161.35000000000002</v>
      </c>
      <c r="I8" s="926">
        <v>26.89</v>
      </c>
      <c r="J8" s="926"/>
      <c r="K8" s="926"/>
      <c r="L8" s="926"/>
      <c r="M8" s="927"/>
      <c r="N8" s="928"/>
      <c r="O8" s="926"/>
      <c r="P8" s="926"/>
      <c r="Q8" s="929"/>
      <c r="R8" s="929"/>
      <c r="S8" s="930"/>
      <c r="T8" s="930"/>
      <c r="U8" s="930"/>
      <c r="V8" s="930"/>
      <c r="W8" s="930"/>
      <c r="X8" s="930"/>
      <c r="Y8" s="929">
        <v>134.46</v>
      </c>
      <c r="Z8" s="931"/>
      <c r="AA8" s="932"/>
    </row>
    <row r="9" spans="2:28" s="160" customFormat="1" x14ac:dyDescent="0.3">
      <c r="B9" s="890">
        <v>45995</v>
      </c>
      <c r="C9" s="891">
        <v>131505120</v>
      </c>
      <c r="D9" s="892" t="s">
        <v>1224</v>
      </c>
      <c r="E9" s="887" t="s">
        <v>1225</v>
      </c>
      <c r="F9" s="894">
        <v>161.35</v>
      </c>
      <c r="G9" s="423"/>
      <c r="H9" s="896">
        <f t="shared" si="0"/>
        <v>161.35000000000002</v>
      </c>
      <c r="I9" s="926">
        <v>26.89</v>
      </c>
      <c r="J9" s="926"/>
      <c r="K9" s="926"/>
      <c r="L9" s="926"/>
      <c r="M9" s="927"/>
      <c r="N9" s="928"/>
      <c r="O9" s="926"/>
      <c r="P9" s="926"/>
      <c r="Q9" s="929"/>
      <c r="R9" s="929"/>
      <c r="S9" s="930"/>
      <c r="T9" s="930"/>
      <c r="U9" s="930"/>
      <c r="V9" s="930"/>
      <c r="W9" s="930"/>
      <c r="X9" s="930"/>
      <c r="Y9" s="929">
        <v>134.46</v>
      </c>
      <c r="Z9" s="931"/>
      <c r="AA9" s="932"/>
    </row>
    <row r="10" spans="2:28" s="160" customFormat="1" x14ac:dyDescent="0.3">
      <c r="B10" s="890">
        <v>45877</v>
      </c>
      <c r="C10" s="891">
        <v>131505120</v>
      </c>
      <c r="D10" s="892" t="s">
        <v>1082</v>
      </c>
      <c r="E10" s="887" t="s">
        <v>1075</v>
      </c>
      <c r="F10" s="894">
        <v>161.35</v>
      </c>
      <c r="G10" s="423"/>
      <c r="H10" s="896">
        <f t="shared" si="0"/>
        <v>161.35000000000002</v>
      </c>
      <c r="I10" s="926">
        <v>26.89</v>
      </c>
      <c r="J10" s="926"/>
      <c r="K10" s="926"/>
      <c r="L10" s="926"/>
      <c r="M10" s="927"/>
      <c r="N10" s="928"/>
      <c r="O10" s="926"/>
      <c r="P10" s="926"/>
      <c r="Q10" s="929"/>
      <c r="R10" s="929"/>
      <c r="S10" s="930"/>
      <c r="T10" s="930"/>
      <c r="U10" s="930"/>
      <c r="V10" s="930"/>
      <c r="W10" s="930"/>
      <c r="X10" s="930"/>
      <c r="Y10" s="929">
        <v>134.46</v>
      </c>
      <c r="Z10" s="931"/>
      <c r="AA10" s="932"/>
    </row>
    <row r="11" spans="2:28" s="160" customFormat="1" x14ac:dyDescent="0.3">
      <c r="B11" s="890">
        <v>45750</v>
      </c>
      <c r="C11" s="891">
        <v>156056022</v>
      </c>
      <c r="D11" s="892" t="s">
        <v>895</v>
      </c>
      <c r="E11" s="887" t="s">
        <v>920</v>
      </c>
      <c r="F11" s="894">
        <v>123</v>
      </c>
      <c r="G11" s="423"/>
      <c r="H11" s="896">
        <f t="shared" si="0"/>
        <v>123</v>
      </c>
      <c r="I11" s="926">
        <v>20.5</v>
      </c>
      <c r="J11" s="926"/>
      <c r="K11" s="926"/>
      <c r="L11" s="926"/>
      <c r="M11" s="927"/>
      <c r="N11" s="928"/>
      <c r="O11" s="926"/>
      <c r="P11" s="926"/>
      <c r="Q11" s="929"/>
      <c r="R11" s="929"/>
      <c r="S11" s="930"/>
      <c r="T11" s="930"/>
      <c r="U11" s="930">
        <v>102.5</v>
      </c>
      <c r="V11" s="930"/>
      <c r="W11" s="930"/>
      <c r="X11" s="930"/>
      <c r="Y11" s="929"/>
      <c r="Z11" s="931"/>
      <c r="AA11" s="932"/>
    </row>
    <row r="12" spans="2:28" s="160" customFormat="1" x14ac:dyDescent="0.3">
      <c r="B12" s="890">
        <v>45967</v>
      </c>
      <c r="C12" s="891">
        <v>156056022</v>
      </c>
      <c r="D12" s="892" t="s">
        <v>1146</v>
      </c>
      <c r="E12" s="887" t="s">
        <v>1147</v>
      </c>
      <c r="F12" s="894">
        <v>108</v>
      </c>
      <c r="G12" s="423"/>
      <c r="H12" s="896">
        <f t="shared" si="0"/>
        <v>108</v>
      </c>
      <c r="I12" s="926">
        <v>18</v>
      </c>
      <c r="J12" s="926"/>
      <c r="K12" s="926"/>
      <c r="L12" s="926"/>
      <c r="M12" s="927"/>
      <c r="N12" s="928"/>
      <c r="O12" s="926"/>
      <c r="P12" s="926"/>
      <c r="Q12" s="929"/>
      <c r="R12" s="929"/>
      <c r="S12" s="930"/>
      <c r="T12" s="930">
        <v>90</v>
      </c>
      <c r="U12" s="930"/>
      <c r="V12" s="930"/>
      <c r="W12" s="930"/>
      <c r="X12" s="930"/>
      <c r="Y12" s="929"/>
      <c r="Z12" s="931"/>
      <c r="AA12" s="932"/>
    </row>
    <row r="13" spans="2:28" s="160" customFormat="1" x14ac:dyDescent="0.3">
      <c r="B13" s="890">
        <v>45841</v>
      </c>
      <c r="C13" s="891">
        <v>185855613</v>
      </c>
      <c r="D13" s="892" t="s">
        <v>1050</v>
      </c>
      <c r="E13" s="887" t="s">
        <v>1049</v>
      </c>
      <c r="F13" s="894">
        <v>1188</v>
      </c>
      <c r="G13" s="423"/>
      <c r="H13" s="896">
        <f t="shared" si="0"/>
        <v>1188</v>
      </c>
      <c r="I13" s="926">
        <v>198</v>
      </c>
      <c r="J13" s="926"/>
      <c r="K13" s="926"/>
      <c r="L13" s="926"/>
      <c r="M13" s="927"/>
      <c r="N13" s="928"/>
      <c r="O13" s="926"/>
      <c r="P13" s="926"/>
      <c r="Q13" s="929"/>
      <c r="R13" s="929"/>
      <c r="S13" s="930"/>
      <c r="T13" s="930">
        <v>990</v>
      </c>
      <c r="U13" s="930"/>
      <c r="V13" s="930"/>
      <c r="W13" s="930"/>
      <c r="X13" s="930"/>
      <c r="Y13" s="929"/>
      <c r="Z13" s="931"/>
      <c r="AA13" s="932"/>
    </row>
    <row r="14" spans="2:28" s="160" customFormat="1" x14ac:dyDescent="0.3">
      <c r="B14" s="890">
        <v>45841</v>
      </c>
      <c r="C14" s="891">
        <v>185855613</v>
      </c>
      <c r="D14" s="892" t="s">
        <v>1051</v>
      </c>
      <c r="E14" s="887" t="s">
        <v>1049</v>
      </c>
      <c r="F14" s="894">
        <v>456</v>
      </c>
      <c r="G14" s="423"/>
      <c r="H14" s="896">
        <f t="shared" si="0"/>
        <v>456</v>
      </c>
      <c r="I14" s="926">
        <v>76</v>
      </c>
      <c r="J14" s="926"/>
      <c r="K14" s="926"/>
      <c r="L14" s="926"/>
      <c r="M14" s="927"/>
      <c r="N14" s="928"/>
      <c r="O14" s="926"/>
      <c r="P14" s="926"/>
      <c r="Q14" s="929">
        <v>380</v>
      </c>
      <c r="R14" s="929"/>
      <c r="S14" s="930"/>
      <c r="T14" s="930"/>
      <c r="U14" s="930"/>
      <c r="V14" s="930"/>
      <c r="W14" s="930"/>
      <c r="X14" s="930"/>
      <c r="Y14" s="929"/>
      <c r="Z14" s="931"/>
      <c r="AA14" s="932"/>
    </row>
    <row r="15" spans="2:28" s="160" customFormat="1" x14ac:dyDescent="0.3">
      <c r="B15" s="890">
        <v>45841</v>
      </c>
      <c r="C15" s="891">
        <v>185855613</v>
      </c>
      <c r="D15" s="892" t="s">
        <v>1052</v>
      </c>
      <c r="E15" s="887" t="s">
        <v>1049</v>
      </c>
      <c r="F15" s="894">
        <v>13992</v>
      </c>
      <c r="G15" s="423"/>
      <c r="H15" s="896">
        <f t="shared" si="0"/>
        <v>13992</v>
      </c>
      <c r="I15" s="926">
        <v>2332</v>
      </c>
      <c r="J15" s="926"/>
      <c r="K15" s="926"/>
      <c r="L15" s="926"/>
      <c r="M15" s="927"/>
      <c r="N15" s="928"/>
      <c r="O15" s="926"/>
      <c r="P15" s="926"/>
      <c r="Q15" s="929">
        <v>11660</v>
      </c>
      <c r="R15" s="929"/>
      <c r="S15" s="930"/>
      <c r="T15" s="930"/>
      <c r="U15" s="930"/>
      <c r="V15" s="930"/>
      <c r="W15" s="930"/>
      <c r="X15" s="930"/>
      <c r="Y15" s="929"/>
      <c r="Z15" s="931"/>
      <c r="AA15" s="932"/>
    </row>
    <row r="16" spans="2:28" s="160" customFormat="1" x14ac:dyDescent="0.3">
      <c r="B16" s="890">
        <v>46037</v>
      </c>
      <c r="C16" s="891">
        <v>197547747</v>
      </c>
      <c r="D16" s="892" t="s">
        <v>1249</v>
      </c>
      <c r="E16" s="887" t="s">
        <v>1250</v>
      </c>
      <c r="F16" s="894">
        <v>274.5</v>
      </c>
      <c r="G16" s="423"/>
      <c r="H16" s="896">
        <f t="shared" si="0"/>
        <v>274.5</v>
      </c>
      <c r="I16" s="926">
        <v>45.75</v>
      </c>
      <c r="J16" s="926"/>
      <c r="K16" s="926"/>
      <c r="L16" s="926"/>
      <c r="M16" s="927"/>
      <c r="N16" s="928"/>
      <c r="O16" s="926"/>
      <c r="P16" s="926"/>
      <c r="Q16" s="929"/>
      <c r="R16" s="929"/>
      <c r="S16" s="930">
        <v>228.75</v>
      </c>
      <c r="T16" s="930"/>
      <c r="U16" s="930"/>
      <c r="V16" s="930"/>
      <c r="W16" s="930"/>
      <c r="X16" s="930"/>
      <c r="Y16" s="929"/>
      <c r="Z16" s="931"/>
      <c r="AA16" s="932"/>
    </row>
    <row r="17" spans="2:27" s="160" customFormat="1" x14ac:dyDescent="0.3">
      <c r="B17" s="890">
        <v>46037</v>
      </c>
      <c r="C17" s="891">
        <v>197547747</v>
      </c>
      <c r="D17" s="892" t="s">
        <v>1249</v>
      </c>
      <c r="E17" s="887" t="s">
        <v>1250</v>
      </c>
      <c r="F17" s="894">
        <v>823.5</v>
      </c>
      <c r="G17" s="423"/>
      <c r="H17" s="896">
        <f t="shared" si="0"/>
        <v>823.5</v>
      </c>
      <c r="I17" s="926">
        <v>137.25</v>
      </c>
      <c r="J17" s="926"/>
      <c r="K17" s="926"/>
      <c r="L17" s="926"/>
      <c r="M17" s="927"/>
      <c r="N17" s="928"/>
      <c r="O17" s="926"/>
      <c r="P17" s="926"/>
      <c r="Q17" s="929"/>
      <c r="R17" s="929"/>
      <c r="S17" s="930">
        <v>686.25</v>
      </c>
      <c r="T17" s="930"/>
      <c r="U17" s="930"/>
      <c r="V17" s="930"/>
      <c r="W17" s="930"/>
      <c r="X17" s="930"/>
      <c r="Y17" s="929"/>
      <c r="Z17" s="931"/>
      <c r="AA17" s="932"/>
    </row>
    <row r="18" spans="2:27" s="160" customFormat="1" x14ac:dyDescent="0.3">
      <c r="B18" s="890">
        <v>45813</v>
      </c>
      <c r="C18" s="891">
        <v>214882167</v>
      </c>
      <c r="D18" s="892" t="s">
        <v>987</v>
      </c>
      <c r="E18" s="887" t="s">
        <v>985</v>
      </c>
      <c r="F18" s="894">
        <v>178.56</v>
      </c>
      <c r="G18" s="423"/>
      <c r="H18" s="896">
        <f t="shared" si="0"/>
        <v>178.56</v>
      </c>
      <c r="I18" s="926">
        <v>29.76</v>
      </c>
      <c r="J18" s="926"/>
      <c r="K18" s="926"/>
      <c r="L18" s="926"/>
      <c r="M18" s="927"/>
      <c r="N18" s="928"/>
      <c r="O18" s="926">
        <v>148.80000000000001</v>
      </c>
      <c r="P18" s="926"/>
      <c r="Q18" s="929"/>
      <c r="R18" s="929"/>
      <c r="S18" s="930"/>
      <c r="T18" s="930"/>
      <c r="U18" s="930"/>
      <c r="V18" s="930"/>
      <c r="W18" s="930"/>
      <c r="X18" s="930"/>
      <c r="Y18" s="929"/>
      <c r="Z18" s="931"/>
      <c r="AA18" s="932"/>
    </row>
    <row r="19" spans="2:27" s="160" customFormat="1" x14ac:dyDescent="0.3">
      <c r="B19" s="890">
        <v>45932</v>
      </c>
      <c r="C19" s="891">
        <v>217915261</v>
      </c>
      <c r="D19" s="892" t="s">
        <v>1349</v>
      </c>
      <c r="E19" s="887" t="s">
        <v>1109</v>
      </c>
      <c r="F19" s="894">
        <v>20</v>
      </c>
      <c r="G19" s="423"/>
      <c r="H19" s="896">
        <f t="shared" si="0"/>
        <v>20</v>
      </c>
      <c r="I19" s="926">
        <v>3.33</v>
      </c>
      <c r="J19" s="926"/>
      <c r="K19" s="926"/>
      <c r="L19" s="926"/>
      <c r="M19" s="927"/>
      <c r="N19" s="928"/>
      <c r="O19" s="926"/>
      <c r="P19" s="926"/>
      <c r="Q19" s="929"/>
      <c r="R19" s="929"/>
      <c r="S19" s="930"/>
      <c r="T19" s="930">
        <v>16.670000000000002</v>
      </c>
      <c r="U19" s="930"/>
      <c r="V19" s="930"/>
      <c r="W19" s="930"/>
      <c r="X19" s="930"/>
      <c r="Y19" s="929"/>
      <c r="Z19" s="931"/>
      <c r="AA19" s="932"/>
    </row>
    <row r="20" spans="2:27" s="160" customFormat="1" x14ac:dyDescent="0.3">
      <c r="B20" s="890">
        <v>45877</v>
      </c>
      <c r="C20" s="891">
        <v>219786228</v>
      </c>
      <c r="D20" s="892" t="s">
        <v>1084</v>
      </c>
      <c r="E20" s="887" t="s">
        <v>1076</v>
      </c>
      <c r="F20" s="894">
        <v>860.4</v>
      </c>
      <c r="G20" s="423"/>
      <c r="H20" s="896">
        <f t="shared" si="0"/>
        <v>860.4</v>
      </c>
      <c r="I20" s="926">
        <v>143.4</v>
      </c>
      <c r="J20" s="926"/>
      <c r="K20" s="926"/>
      <c r="L20" s="926"/>
      <c r="M20" s="927"/>
      <c r="N20" s="928"/>
      <c r="O20" s="926"/>
      <c r="P20" s="926"/>
      <c r="Q20" s="929"/>
      <c r="R20" s="929"/>
      <c r="S20" s="930">
        <v>717</v>
      </c>
      <c r="T20" s="930"/>
      <c r="U20" s="930"/>
      <c r="V20" s="930"/>
      <c r="W20" s="930"/>
      <c r="X20" s="930"/>
      <c r="Y20" s="929"/>
      <c r="Z20" s="931"/>
      <c r="AA20" s="932"/>
    </row>
    <row r="21" spans="2:27" s="160" customFormat="1" ht="15" customHeight="1" x14ac:dyDescent="0.3">
      <c r="B21" s="890">
        <v>45778</v>
      </c>
      <c r="C21" s="891">
        <v>220430231</v>
      </c>
      <c r="D21" s="892" t="s">
        <v>930</v>
      </c>
      <c r="E21" s="887" t="s">
        <v>922</v>
      </c>
      <c r="F21" s="894">
        <v>20.55</v>
      </c>
      <c r="G21" s="423"/>
      <c r="H21" s="896">
        <f t="shared" si="0"/>
        <v>20.55</v>
      </c>
      <c r="I21" s="926">
        <v>3.43</v>
      </c>
      <c r="J21" s="926">
        <v>17.12</v>
      </c>
      <c r="K21" s="926"/>
      <c r="L21" s="926"/>
      <c r="M21" s="927"/>
      <c r="N21" s="928"/>
      <c r="O21" s="926"/>
      <c r="P21" s="926"/>
      <c r="Q21" s="929"/>
      <c r="R21" s="929"/>
      <c r="S21" s="930"/>
      <c r="T21" s="930"/>
      <c r="U21" s="930"/>
      <c r="V21" s="930"/>
      <c r="W21" s="930"/>
      <c r="X21" s="930"/>
      <c r="Y21" s="929"/>
      <c r="Z21" s="931"/>
      <c r="AA21" s="932"/>
    </row>
    <row r="22" spans="2:27" s="160" customFormat="1" ht="15" customHeight="1" x14ac:dyDescent="0.3">
      <c r="B22" s="890">
        <v>45813</v>
      </c>
      <c r="C22" s="891">
        <v>220430231</v>
      </c>
      <c r="D22" s="892" t="s">
        <v>1340</v>
      </c>
      <c r="E22" s="887" t="s">
        <v>1002</v>
      </c>
      <c r="F22" s="894">
        <v>158.02000000000001</v>
      </c>
      <c r="G22" s="423"/>
      <c r="H22" s="896">
        <f t="shared" si="0"/>
        <v>158.02000000000001</v>
      </c>
      <c r="I22" s="926">
        <v>26.34</v>
      </c>
      <c r="J22" s="926"/>
      <c r="K22" s="926"/>
      <c r="L22" s="926"/>
      <c r="M22" s="927"/>
      <c r="N22" s="928"/>
      <c r="O22" s="926"/>
      <c r="P22" s="926"/>
      <c r="Q22" s="929"/>
      <c r="R22" s="929"/>
      <c r="S22" s="930"/>
      <c r="T22" s="930"/>
      <c r="U22" s="930"/>
      <c r="V22" s="930">
        <v>131.68</v>
      </c>
      <c r="W22" s="930"/>
      <c r="X22" s="930"/>
      <c r="Y22" s="929"/>
      <c r="Z22" s="931"/>
      <c r="AA22" s="932"/>
    </row>
    <row r="23" spans="2:27" s="160" customFormat="1" ht="15" customHeight="1" x14ac:dyDescent="0.3">
      <c r="B23" s="890">
        <v>45841</v>
      </c>
      <c r="C23" s="891">
        <v>220430231</v>
      </c>
      <c r="D23" s="892" t="s">
        <v>1339</v>
      </c>
      <c r="E23" s="887" t="s">
        <v>1058</v>
      </c>
      <c r="F23" s="894">
        <v>57.78</v>
      </c>
      <c r="G23" s="423"/>
      <c r="H23" s="896">
        <f t="shared" si="0"/>
        <v>57.78</v>
      </c>
      <c r="I23" s="926">
        <v>9.6300000000000008</v>
      </c>
      <c r="J23" s="926"/>
      <c r="K23" s="926"/>
      <c r="L23" s="926"/>
      <c r="M23" s="927"/>
      <c r="N23" s="928"/>
      <c r="O23" s="926"/>
      <c r="P23" s="926"/>
      <c r="Q23" s="929"/>
      <c r="R23" s="929"/>
      <c r="S23" s="930"/>
      <c r="T23" s="930"/>
      <c r="U23" s="930"/>
      <c r="V23" s="930">
        <v>48.15</v>
      </c>
      <c r="W23" s="930"/>
      <c r="X23" s="930"/>
      <c r="Y23" s="929"/>
      <c r="Z23" s="931"/>
      <c r="AA23" s="932"/>
    </row>
    <row r="24" spans="2:27" s="160" customFormat="1" ht="15" customHeight="1" x14ac:dyDescent="0.3">
      <c r="B24" s="890">
        <v>45932</v>
      </c>
      <c r="C24" s="891">
        <v>220430231</v>
      </c>
      <c r="D24" s="892" t="s">
        <v>1342</v>
      </c>
      <c r="E24" s="887" t="s">
        <v>1115</v>
      </c>
      <c r="F24" s="894">
        <v>110.18</v>
      </c>
      <c r="G24" s="423"/>
      <c r="H24" s="896">
        <f t="shared" si="0"/>
        <v>110.17999999999999</v>
      </c>
      <c r="I24" s="926">
        <v>18.36</v>
      </c>
      <c r="J24" s="926"/>
      <c r="K24" s="926"/>
      <c r="L24" s="926"/>
      <c r="M24" s="927"/>
      <c r="N24" s="928"/>
      <c r="O24" s="926"/>
      <c r="P24" s="926"/>
      <c r="Q24" s="929"/>
      <c r="R24" s="929"/>
      <c r="S24" s="930"/>
      <c r="T24" s="930"/>
      <c r="U24" s="930"/>
      <c r="V24" s="930">
        <v>91.82</v>
      </c>
      <c r="W24" s="930"/>
      <c r="X24" s="930"/>
      <c r="Y24" s="929"/>
      <c r="Z24" s="931"/>
      <c r="AA24" s="932"/>
    </row>
    <row r="25" spans="2:27" s="160" customFormat="1" ht="15" customHeight="1" x14ac:dyDescent="0.3">
      <c r="B25" s="890">
        <v>45995</v>
      </c>
      <c r="C25" s="891">
        <v>220430231</v>
      </c>
      <c r="D25" s="892" t="s">
        <v>1347</v>
      </c>
      <c r="E25" s="887" t="s">
        <v>1209</v>
      </c>
      <c r="F25" s="894">
        <v>27</v>
      </c>
      <c r="G25" s="423"/>
      <c r="H25" s="896">
        <f t="shared" si="0"/>
        <v>27</v>
      </c>
      <c r="I25" s="926">
        <v>4.5</v>
      </c>
      <c r="J25" s="926"/>
      <c r="K25" s="926">
        <v>22.5</v>
      </c>
      <c r="L25" s="926"/>
      <c r="M25" s="927"/>
      <c r="N25" s="928"/>
      <c r="O25" s="926"/>
      <c r="P25" s="926"/>
      <c r="Q25" s="929"/>
      <c r="R25" s="929"/>
      <c r="S25" s="930"/>
      <c r="T25" s="930"/>
      <c r="U25" s="930"/>
      <c r="V25" s="930"/>
      <c r="W25" s="930"/>
      <c r="X25" s="930"/>
      <c r="Y25" s="929"/>
      <c r="Z25" s="931"/>
      <c r="AA25" s="932"/>
    </row>
    <row r="26" spans="2:27" s="160" customFormat="1" ht="15" customHeight="1" x14ac:dyDescent="0.3">
      <c r="B26" s="890">
        <v>46037</v>
      </c>
      <c r="C26" s="891">
        <v>220430231</v>
      </c>
      <c r="D26" s="892" t="s">
        <v>1343</v>
      </c>
      <c r="E26" s="887" t="s">
        <v>1248</v>
      </c>
      <c r="F26" s="894">
        <v>26.9</v>
      </c>
      <c r="G26" s="423"/>
      <c r="H26" s="896">
        <f t="shared" si="0"/>
        <v>26.900000000000002</v>
      </c>
      <c r="I26" s="926">
        <v>4.4800000000000004</v>
      </c>
      <c r="J26" s="926"/>
      <c r="K26" s="926"/>
      <c r="L26" s="926"/>
      <c r="M26" s="927"/>
      <c r="N26" s="928"/>
      <c r="O26" s="926"/>
      <c r="P26" s="926"/>
      <c r="Q26" s="929"/>
      <c r="R26" s="929"/>
      <c r="S26" s="930"/>
      <c r="T26" s="930"/>
      <c r="U26" s="930"/>
      <c r="V26" s="930">
        <v>22.42</v>
      </c>
      <c r="W26" s="930"/>
      <c r="X26" s="930"/>
      <c r="Y26" s="929"/>
      <c r="Z26" s="931"/>
      <c r="AA26" s="932"/>
    </row>
    <row r="27" spans="2:27" s="160" customFormat="1" ht="15" customHeight="1" x14ac:dyDescent="0.3">
      <c r="B27" s="890">
        <v>45763</v>
      </c>
      <c r="C27" s="891">
        <v>245719348</v>
      </c>
      <c r="D27" s="892" t="s">
        <v>977</v>
      </c>
      <c r="E27" s="887" t="s">
        <v>978</v>
      </c>
      <c r="F27" s="894">
        <v>25.43</v>
      </c>
      <c r="G27" s="423"/>
      <c r="H27" s="896">
        <f t="shared" si="0"/>
        <v>25.43</v>
      </c>
      <c r="I27" s="926">
        <v>4.24</v>
      </c>
      <c r="J27" s="926"/>
      <c r="K27" s="926"/>
      <c r="L27" s="926"/>
      <c r="M27" s="927"/>
      <c r="N27" s="928"/>
      <c r="O27" s="926"/>
      <c r="P27" s="926"/>
      <c r="Q27" s="929"/>
      <c r="R27" s="929"/>
      <c r="S27" s="930"/>
      <c r="T27" s="930"/>
      <c r="U27" s="930"/>
      <c r="V27" s="930"/>
      <c r="W27" s="930"/>
      <c r="X27" s="930"/>
      <c r="Y27" s="929"/>
      <c r="Z27" s="931"/>
      <c r="AA27" s="932">
        <v>21.19</v>
      </c>
    </row>
    <row r="28" spans="2:27" s="160" customFormat="1" ht="15" customHeight="1" x14ac:dyDescent="0.3">
      <c r="B28" s="890">
        <v>45793</v>
      </c>
      <c r="C28" s="891">
        <v>245719348</v>
      </c>
      <c r="D28" s="892" t="s">
        <v>981</v>
      </c>
      <c r="E28" s="887" t="s">
        <v>982</v>
      </c>
      <c r="F28" s="894">
        <v>25.43</v>
      </c>
      <c r="G28" s="423"/>
      <c r="H28" s="896">
        <f t="shared" si="0"/>
        <v>25.43</v>
      </c>
      <c r="I28" s="926">
        <v>4.24</v>
      </c>
      <c r="J28" s="926"/>
      <c r="K28" s="926"/>
      <c r="L28" s="926"/>
      <c r="M28" s="927"/>
      <c r="N28" s="928"/>
      <c r="O28" s="926"/>
      <c r="P28" s="926"/>
      <c r="Q28" s="929"/>
      <c r="R28" s="929"/>
      <c r="S28" s="930"/>
      <c r="T28" s="930"/>
      <c r="U28" s="930"/>
      <c r="V28" s="930"/>
      <c r="W28" s="930"/>
      <c r="X28" s="930"/>
      <c r="Y28" s="929"/>
      <c r="Z28" s="931"/>
      <c r="AA28" s="932">
        <v>21.19</v>
      </c>
    </row>
    <row r="29" spans="2:27" s="160" customFormat="1" ht="15" customHeight="1" x14ac:dyDescent="0.3">
      <c r="B29" s="890">
        <v>45824</v>
      </c>
      <c r="C29" s="891">
        <v>245719348</v>
      </c>
      <c r="D29" s="892" t="s">
        <v>1017</v>
      </c>
      <c r="E29" s="887" t="s">
        <v>1018</v>
      </c>
      <c r="F29" s="894">
        <v>25.43</v>
      </c>
      <c r="G29" s="423"/>
      <c r="H29" s="896">
        <f t="shared" si="0"/>
        <v>25.43</v>
      </c>
      <c r="I29" s="926">
        <v>4.24</v>
      </c>
      <c r="J29" s="926"/>
      <c r="K29" s="926"/>
      <c r="L29" s="926"/>
      <c r="M29" s="927"/>
      <c r="N29" s="928"/>
      <c r="O29" s="926"/>
      <c r="P29" s="926"/>
      <c r="Q29" s="929"/>
      <c r="R29" s="929"/>
      <c r="S29" s="930"/>
      <c r="T29" s="930"/>
      <c r="U29" s="930"/>
      <c r="V29" s="930"/>
      <c r="W29" s="930"/>
      <c r="X29" s="930"/>
      <c r="Y29" s="929"/>
      <c r="Z29" s="931"/>
      <c r="AA29" s="932">
        <v>21.19</v>
      </c>
    </row>
    <row r="30" spans="2:27" s="160" customFormat="1" ht="15" customHeight="1" x14ac:dyDescent="0.3">
      <c r="B30" s="890">
        <v>45854</v>
      </c>
      <c r="C30" s="891">
        <v>245719348</v>
      </c>
      <c r="D30" s="892" t="s">
        <v>1074</v>
      </c>
      <c r="E30" s="887" t="s">
        <v>1068</v>
      </c>
      <c r="F30" s="894">
        <v>25.43</v>
      </c>
      <c r="G30" s="423"/>
      <c r="H30" s="896">
        <f t="shared" si="0"/>
        <v>25.43</v>
      </c>
      <c r="I30" s="926">
        <v>4.24</v>
      </c>
      <c r="J30" s="926"/>
      <c r="K30" s="926"/>
      <c r="L30" s="926"/>
      <c r="M30" s="927"/>
      <c r="N30" s="928"/>
      <c r="O30" s="926"/>
      <c r="P30" s="926"/>
      <c r="Q30" s="929"/>
      <c r="R30" s="929"/>
      <c r="S30" s="930"/>
      <c r="T30" s="930"/>
      <c r="U30" s="930"/>
      <c r="V30" s="930"/>
      <c r="W30" s="930"/>
      <c r="X30" s="930"/>
      <c r="Y30" s="929"/>
      <c r="Z30" s="931"/>
      <c r="AA30" s="932">
        <v>21.19</v>
      </c>
    </row>
    <row r="31" spans="2:27" s="160" customFormat="1" ht="15" customHeight="1" x14ac:dyDescent="0.3">
      <c r="B31" s="890">
        <v>45903</v>
      </c>
      <c r="C31" s="891">
        <v>245719348</v>
      </c>
      <c r="D31" s="892" t="s">
        <v>1069</v>
      </c>
      <c r="E31" s="887" t="s">
        <v>1077</v>
      </c>
      <c r="F31" s="894">
        <v>25.43</v>
      </c>
      <c r="G31" s="423"/>
      <c r="H31" s="896">
        <f t="shared" si="0"/>
        <v>25.43</v>
      </c>
      <c r="I31" s="926">
        <v>4.24</v>
      </c>
      <c r="J31" s="926"/>
      <c r="K31" s="926"/>
      <c r="L31" s="926"/>
      <c r="M31" s="927"/>
      <c r="N31" s="928"/>
      <c r="O31" s="926"/>
      <c r="P31" s="926"/>
      <c r="Q31" s="929"/>
      <c r="R31" s="929"/>
      <c r="S31" s="930"/>
      <c r="T31" s="930"/>
      <c r="U31" s="930"/>
      <c r="V31" s="930"/>
      <c r="W31" s="930"/>
      <c r="X31" s="930"/>
      <c r="Y31" s="929"/>
      <c r="Z31" s="931"/>
      <c r="AA31" s="932">
        <v>21.19</v>
      </c>
    </row>
    <row r="32" spans="2:27" s="160" customFormat="1" ht="15" customHeight="1" x14ac:dyDescent="0.3">
      <c r="B32" s="890">
        <v>45916</v>
      </c>
      <c r="C32" s="891">
        <v>245719348</v>
      </c>
      <c r="D32" s="892" t="s">
        <v>1118</v>
      </c>
      <c r="E32" s="887" t="s">
        <v>1119</v>
      </c>
      <c r="F32" s="894">
        <v>25.43</v>
      </c>
      <c r="G32" s="423"/>
      <c r="H32" s="896">
        <f t="shared" si="0"/>
        <v>25.43</v>
      </c>
      <c r="I32" s="926">
        <v>4.24</v>
      </c>
      <c r="J32" s="926"/>
      <c r="K32" s="926"/>
      <c r="L32" s="926"/>
      <c r="M32" s="927"/>
      <c r="N32" s="928"/>
      <c r="O32" s="926"/>
      <c r="P32" s="926"/>
      <c r="Q32" s="929"/>
      <c r="R32" s="929"/>
      <c r="S32" s="930"/>
      <c r="T32" s="930"/>
      <c r="U32" s="930"/>
      <c r="V32" s="930"/>
      <c r="W32" s="930"/>
      <c r="X32" s="930"/>
      <c r="Y32" s="929"/>
      <c r="Z32" s="931"/>
      <c r="AA32" s="932">
        <v>21.19</v>
      </c>
    </row>
    <row r="33" spans="2:27" s="160" customFormat="1" ht="15" customHeight="1" x14ac:dyDescent="0.3">
      <c r="B33" s="890">
        <v>45967</v>
      </c>
      <c r="C33" s="891">
        <v>245719348</v>
      </c>
      <c r="D33" s="892" t="s">
        <v>1158</v>
      </c>
      <c r="E33" s="887" t="s">
        <v>1157</v>
      </c>
      <c r="F33" s="894">
        <v>25.43</v>
      </c>
      <c r="G33" s="423"/>
      <c r="H33" s="896">
        <f t="shared" si="0"/>
        <v>25.43</v>
      </c>
      <c r="I33" s="926">
        <v>4.24</v>
      </c>
      <c r="J33" s="926"/>
      <c r="K33" s="926"/>
      <c r="L33" s="926"/>
      <c r="M33" s="927"/>
      <c r="N33" s="928"/>
      <c r="O33" s="926"/>
      <c r="P33" s="926"/>
      <c r="Q33" s="929"/>
      <c r="R33" s="929"/>
      <c r="S33" s="930"/>
      <c r="T33" s="930"/>
      <c r="U33" s="930"/>
      <c r="V33" s="930"/>
      <c r="W33" s="930"/>
      <c r="X33" s="930"/>
      <c r="Y33" s="929"/>
      <c r="Z33" s="931"/>
      <c r="AA33" s="932">
        <v>21.19</v>
      </c>
    </row>
    <row r="34" spans="2:27" s="160" customFormat="1" ht="15" customHeight="1" x14ac:dyDescent="0.3">
      <c r="B34" s="890">
        <v>45980</v>
      </c>
      <c r="C34" s="891">
        <v>245719348</v>
      </c>
      <c r="D34" s="892" t="s">
        <v>1202</v>
      </c>
      <c r="E34" s="887" t="s">
        <v>1203</v>
      </c>
      <c r="F34" s="894">
        <v>25.43</v>
      </c>
      <c r="G34" s="423"/>
      <c r="H34" s="896">
        <f t="shared" si="0"/>
        <v>25.43</v>
      </c>
      <c r="I34" s="926">
        <v>4.24</v>
      </c>
      <c r="J34" s="926"/>
      <c r="K34" s="926"/>
      <c r="L34" s="926"/>
      <c r="M34" s="927"/>
      <c r="N34" s="928"/>
      <c r="O34" s="926"/>
      <c r="P34" s="926"/>
      <c r="Q34" s="929"/>
      <c r="R34" s="929"/>
      <c r="S34" s="930"/>
      <c r="T34" s="930"/>
      <c r="U34" s="930"/>
      <c r="V34" s="930"/>
      <c r="W34" s="930"/>
      <c r="X34" s="930"/>
      <c r="Y34" s="929"/>
      <c r="Z34" s="931"/>
      <c r="AA34" s="932">
        <v>21.19</v>
      </c>
    </row>
    <row r="35" spans="2:27" s="160" customFormat="1" ht="15" customHeight="1" x14ac:dyDescent="0.3">
      <c r="B35" s="890">
        <v>46007</v>
      </c>
      <c r="C35" s="891">
        <v>245719348</v>
      </c>
      <c r="D35" s="892" t="s">
        <v>1233</v>
      </c>
      <c r="E35" s="887" t="s">
        <v>1234</v>
      </c>
      <c r="F35" s="894">
        <v>25.43</v>
      </c>
      <c r="G35" s="423"/>
      <c r="H35" s="896">
        <f t="shared" ref="H35:H66" si="1">SUM(I35:AA35)</f>
        <v>25.43</v>
      </c>
      <c r="I35" s="926">
        <v>4.24</v>
      </c>
      <c r="J35" s="926"/>
      <c r="K35" s="926"/>
      <c r="L35" s="926"/>
      <c r="M35" s="927"/>
      <c r="N35" s="928"/>
      <c r="O35" s="926"/>
      <c r="P35" s="926"/>
      <c r="Q35" s="929"/>
      <c r="R35" s="929"/>
      <c r="S35" s="930"/>
      <c r="T35" s="930"/>
      <c r="U35" s="930"/>
      <c r="V35" s="930"/>
      <c r="W35" s="930"/>
      <c r="X35" s="930"/>
      <c r="Y35" s="929"/>
      <c r="Z35" s="931"/>
      <c r="AA35" s="932">
        <v>21.19</v>
      </c>
    </row>
    <row r="36" spans="2:27" s="160" customFormat="1" ht="15" customHeight="1" x14ac:dyDescent="0.3">
      <c r="B36" s="890">
        <v>46037</v>
      </c>
      <c r="C36" s="891">
        <v>245719348</v>
      </c>
      <c r="D36" s="892" t="s">
        <v>1252</v>
      </c>
      <c r="E36" s="887" t="s">
        <v>1253</v>
      </c>
      <c r="F36" s="894">
        <v>25.43</v>
      </c>
      <c r="G36" s="423"/>
      <c r="H36" s="896">
        <f t="shared" si="1"/>
        <v>25.43</v>
      </c>
      <c r="I36" s="926">
        <v>4.24</v>
      </c>
      <c r="J36" s="926"/>
      <c r="K36" s="926"/>
      <c r="L36" s="926"/>
      <c r="M36" s="927"/>
      <c r="N36" s="928"/>
      <c r="O36" s="926"/>
      <c r="P36" s="926"/>
      <c r="Q36" s="929"/>
      <c r="R36" s="929"/>
      <c r="S36" s="930"/>
      <c r="T36" s="930"/>
      <c r="U36" s="930"/>
      <c r="V36" s="930"/>
      <c r="W36" s="930"/>
      <c r="X36" s="930"/>
      <c r="Y36" s="929"/>
      <c r="Z36" s="931"/>
      <c r="AA36" s="932">
        <v>21.19</v>
      </c>
    </row>
    <row r="37" spans="2:27" s="160" customFormat="1" ht="15" customHeight="1" x14ac:dyDescent="0.3">
      <c r="B37" s="890">
        <v>46069</v>
      </c>
      <c r="C37" s="891">
        <v>245719348</v>
      </c>
      <c r="D37" s="892" t="s">
        <v>1282</v>
      </c>
      <c r="E37" s="887" t="s">
        <v>1283</v>
      </c>
      <c r="F37" s="894">
        <v>25.43</v>
      </c>
      <c r="G37" s="423"/>
      <c r="H37" s="896">
        <f t="shared" si="1"/>
        <v>25.43</v>
      </c>
      <c r="I37" s="926">
        <v>4.24</v>
      </c>
      <c r="J37" s="926"/>
      <c r="K37" s="926"/>
      <c r="L37" s="926"/>
      <c r="M37" s="927"/>
      <c r="N37" s="928"/>
      <c r="O37" s="926"/>
      <c r="P37" s="926"/>
      <c r="Q37" s="929"/>
      <c r="R37" s="929"/>
      <c r="S37" s="930"/>
      <c r="T37" s="930"/>
      <c r="U37" s="930"/>
      <c r="V37" s="930"/>
      <c r="W37" s="930"/>
      <c r="X37" s="930"/>
      <c r="Y37" s="929"/>
      <c r="Z37" s="931"/>
      <c r="AA37" s="932">
        <v>21.19</v>
      </c>
    </row>
    <row r="38" spans="2:27" s="160" customFormat="1" ht="15" customHeight="1" x14ac:dyDescent="0.3">
      <c r="B38" s="890">
        <v>46097</v>
      </c>
      <c r="C38" s="891">
        <v>245719348</v>
      </c>
      <c r="D38" s="892" t="s">
        <v>1309</v>
      </c>
      <c r="E38" s="887" t="s">
        <v>1312</v>
      </c>
      <c r="F38" s="894">
        <v>25.43</v>
      </c>
      <c r="G38" s="423"/>
      <c r="H38" s="896">
        <f t="shared" si="1"/>
        <v>25.43</v>
      </c>
      <c r="I38" s="926">
        <v>4.24</v>
      </c>
      <c r="J38" s="926"/>
      <c r="K38" s="926"/>
      <c r="L38" s="926"/>
      <c r="M38" s="927"/>
      <c r="N38" s="928"/>
      <c r="O38" s="926"/>
      <c r="P38" s="926"/>
      <c r="Q38" s="929"/>
      <c r="R38" s="929"/>
      <c r="S38" s="930"/>
      <c r="T38" s="930"/>
      <c r="U38" s="930"/>
      <c r="V38" s="930"/>
      <c r="W38" s="930"/>
      <c r="X38" s="930"/>
      <c r="Y38" s="929"/>
      <c r="Z38" s="931"/>
      <c r="AA38" s="932">
        <v>21.19</v>
      </c>
    </row>
    <row r="39" spans="2:27" s="160" customFormat="1" ht="15" customHeight="1" x14ac:dyDescent="0.3">
      <c r="B39" s="890">
        <v>45967</v>
      </c>
      <c r="C39" s="891">
        <v>250872112</v>
      </c>
      <c r="D39" s="892" t="s">
        <v>1345</v>
      </c>
      <c r="E39" s="887" t="s">
        <v>1133</v>
      </c>
      <c r="F39" s="894">
        <v>30.03</v>
      </c>
      <c r="G39" s="423"/>
      <c r="H39" s="896">
        <f t="shared" si="1"/>
        <v>30.03</v>
      </c>
      <c r="I39" s="926">
        <v>5.01</v>
      </c>
      <c r="J39" s="926"/>
      <c r="K39" s="926">
        <v>25.02</v>
      </c>
      <c r="L39" s="926"/>
      <c r="M39" s="927"/>
      <c r="N39" s="928"/>
      <c r="O39" s="926"/>
      <c r="P39" s="926"/>
      <c r="Q39" s="929"/>
      <c r="R39" s="929"/>
      <c r="S39" s="930"/>
      <c r="T39" s="930"/>
      <c r="U39" s="930"/>
      <c r="V39" s="930"/>
      <c r="W39" s="930"/>
      <c r="X39" s="930"/>
      <c r="Y39" s="929"/>
      <c r="Z39" s="931"/>
      <c r="AA39" s="932"/>
    </row>
    <row r="40" spans="2:27" s="160" customFormat="1" ht="15" customHeight="1" x14ac:dyDescent="0.3">
      <c r="B40" s="890">
        <v>45932</v>
      </c>
      <c r="C40" s="891">
        <v>256738470</v>
      </c>
      <c r="D40" s="892" t="s">
        <v>1344</v>
      </c>
      <c r="E40" s="887" t="s">
        <v>1115</v>
      </c>
      <c r="F40" s="894">
        <v>11.49</v>
      </c>
      <c r="G40" s="423"/>
      <c r="H40" s="896">
        <f t="shared" si="1"/>
        <v>11.49</v>
      </c>
      <c r="I40" s="926">
        <v>1.92</v>
      </c>
      <c r="J40" s="926"/>
      <c r="K40" s="926"/>
      <c r="L40" s="926"/>
      <c r="M40" s="927"/>
      <c r="N40" s="928"/>
      <c r="O40" s="926"/>
      <c r="P40" s="926"/>
      <c r="Q40" s="929"/>
      <c r="R40" s="929"/>
      <c r="S40" s="930"/>
      <c r="T40" s="930"/>
      <c r="U40" s="930"/>
      <c r="V40" s="930">
        <v>9.57</v>
      </c>
      <c r="W40" s="930"/>
      <c r="X40" s="930"/>
      <c r="Y40" s="929"/>
      <c r="Z40" s="931"/>
      <c r="AA40" s="932"/>
    </row>
    <row r="41" spans="2:27" s="160" customFormat="1" ht="15" customHeight="1" x14ac:dyDescent="0.3">
      <c r="B41" s="890">
        <v>45750</v>
      </c>
      <c r="C41" s="891">
        <v>257767651</v>
      </c>
      <c r="D41" s="892" t="s">
        <v>894</v>
      </c>
      <c r="E41" s="887" t="s">
        <v>919</v>
      </c>
      <c r="F41" s="894">
        <v>170.4</v>
      </c>
      <c r="G41" s="423"/>
      <c r="H41" s="896">
        <f t="shared" si="1"/>
        <v>170.4</v>
      </c>
      <c r="I41" s="926">
        <v>28.4</v>
      </c>
      <c r="J41" s="926"/>
      <c r="K41" s="926"/>
      <c r="L41" s="926"/>
      <c r="M41" s="927"/>
      <c r="N41" s="928"/>
      <c r="O41" s="926"/>
      <c r="P41" s="926"/>
      <c r="Q41" s="929"/>
      <c r="R41" s="929"/>
      <c r="S41" s="930"/>
      <c r="T41" s="930"/>
      <c r="U41" s="930"/>
      <c r="V41" s="930"/>
      <c r="W41" s="930">
        <v>142</v>
      </c>
      <c r="X41" s="930"/>
      <c r="Y41" s="929"/>
      <c r="Z41" s="931"/>
      <c r="AA41" s="932"/>
    </row>
    <row r="42" spans="2:27" s="160" customFormat="1" ht="15" customHeight="1" x14ac:dyDescent="0.3">
      <c r="B42" s="890">
        <v>46086</v>
      </c>
      <c r="C42" s="891">
        <v>297094655</v>
      </c>
      <c r="D42" s="892" t="s">
        <v>1295</v>
      </c>
      <c r="E42" s="887" t="s">
        <v>1296</v>
      </c>
      <c r="F42" s="894">
        <v>3252.04</v>
      </c>
      <c r="G42" s="423"/>
      <c r="H42" s="896">
        <f t="shared" si="1"/>
        <v>3252.04</v>
      </c>
      <c r="I42" s="926">
        <v>542.01</v>
      </c>
      <c r="J42" s="926"/>
      <c r="K42" s="926"/>
      <c r="L42" s="926"/>
      <c r="M42" s="927"/>
      <c r="N42" s="928">
        <v>2710.03</v>
      </c>
      <c r="O42" s="926"/>
      <c r="P42" s="926"/>
      <c r="Q42" s="929"/>
      <c r="R42" s="929"/>
      <c r="S42" s="930"/>
      <c r="T42" s="930"/>
      <c r="U42" s="930"/>
      <c r="V42" s="930"/>
      <c r="W42" s="930"/>
      <c r="X42" s="930"/>
      <c r="Y42" s="929"/>
      <c r="Z42" s="931"/>
      <c r="AA42" s="932"/>
    </row>
    <row r="43" spans="2:27" s="160" customFormat="1" ht="15" customHeight="1" x14ac:dyDescent="0.3">
      <c r="B43" s="890">
        <v>45828</v>
      </c>
      <c r="C43" s="891">
        <v>334028724</v>
      </c>
      <c r="D43" s="892" t="s">
        <v>1025</v>
      </c>
      <c r="E43" s="887" t="s">
        <v>1019</v>
      </c>
      <c r="F43" s="894">
        <v>432</v>
      </c>
      <c r="G43" s="423"/>
      <c r="H43" s="896">
        <f t="shared" si="1"/>
        <v>432</v>
      </c>
      <c r="I43" s="926">
        <v>72</v>
      </c>
      <c r="J43" s="926"/>
      <c r="K43" s="926"/>
      <c r="L43" s="926"/>
      <c r="M43" s="927"/>
      <c r="N43" s="928"/>
      <c r="O43" s="926"/>
      <c r="P43" s="926"/>
      <c r="Q43" s="929"/>
      <c r="R43" s="929">
        <v>360</v>
      </c>
      <c r="S43" s="930"/>
      <c r="T43" s="930"/>
      <c r="U43" s="930"/>
      <c r="V43" s="930"/>
      <c r="W43" s="930"/>
      <c r="X43" s="930"/>
      <c r="Y43" s="929"/>
      <c r="Z43" s="931"/>
      <c r="AA43" s="932"/>
    </row>
    <row r="44" spans="2:27" s="160" customFormat="1" ht="15" customHeight="1" x14ac:dyDescent="0.3">
      <c r="B44" s="890">
        <v>45932</v>
      </c>
      <c r="C44" s="891">
        <v>335548880</v>
      </c>
      <c r="D44" s="892" t="s">
        <v>1125</v>
      </c>
      <c r="E44" s="887" t="s">
        <v>1126</v>
      </c>
      <c r="F44" s="894">
        <v>504</v>
      </c>
      <c r="G44" s="423"/>
      <c r="H44" s="896">
        <f t="shared" si="1"/>
        <v>504</v>
      </c>
      <c r="I44" s="926">
        <v>42</v>
      </c>
      <c r="J44" s="926"/>
      <c r="K44" s="926"/>
      <c r="L44" s="926"/>
      <c r="M44" s="927"/>
      <c r="N44" s="928"/>
      <c r="O44" s="926"/>
      <c r="P44" s="926"/>
      <c r="Q44" s="929"/>
      <c r="R44" s="929"/>
      <c r="S44" s="930">
        <v>462</v>
      </c>
      <c r="T44" s="930"/>
      <c r="U44" s="930"/>
      <c r="V44" s="930"/>
      <c r="W44" s="930"/>
      <c r="X44" s="930"/>
      <c r="Y44" s="929"/>
      <c r="Z44" s="931"/>
      <c r="AA44" s="932"/>
    </row>
    <row r="45" spans="2:27" s="160" customFormat="1" ht="15" customHeight="1" x14ac:dyDescent="0.3">
      <c r="B45" s="890">
        <v>45841</v>
      </c>
      <c r="C45" s="891">
        <v>343475355</v>
      </c>
      <c r="D45" s="892" t="s">
        <v>1341</v>
      </c>
      <c r="E45" s="887" t="s">
        <v>1058</v>
      </c>
      <c r="F45" s="894">
        <v>30.15</v>
      </c>
      <c r="G45" s="423"/>
      <c r="H45" s="896">
        <f t="shared" si="1"/>
        <v>30.150000000000002</v>
      </c>
      <c r="I45" s="926">
        <v>5.03</v>
      </c>
      <c r="J45" s="926"/>
      <c r="K45" s="926"/>
      <c r="L45" s="926"/>
      <c r="M45" s="927"/>
      <c r="N45" s="928"/>
      <c r="O45" s="926"/>
      <c r="P45" s="926"/>
      <c r="Q45" s="929"/>
      <c r="R45" s="929"/>
      <c r="S45" s="930"/>
      <c r="T45" s="930"/>
      <c r="U45" s="930"/>
      <c r="V45" s="930">
        <v>25.12</v>
      </c>
      <c r="W45" s="930"/>
      <c r="X45" s="930"/>
      <c r="Y45" s="929"/>
      <c r="Z45" s="931"/>
      <c r="AA45" s="932"/>
    </row>
    <row r="46" spans="2:27" s="160" customFormat="1" ht="15" customHeight="1" x14ac:dyDescent="0.3">
      <c r="B46" s="890">
        <v>45841</v>
      </c>
      <c r="C46" s="891">
        <v>406821467</v>
      </c>
      <c r="D46" s="892" t="s">
        <v>1047</v>
      </c>
      <c r="E46" s="887" t="s">
        <v>1048</v>
      </c>
      <c r="F46" s="894">
        <v>88.2</v>
      </c>
      <c r="G46" s="423"/>
      <c r="H46" s="896">
        <f t="shared" si="1"/>
        <v>88.2</v>
      </c>
      <c r="I46" s="926">
        <v>14.7</v>
      </c>
      <c r="J46" s="926"/>
      <c r="K46" s="926"/>
      <c r="L46" s="926"/>
      <c r="M46" s="927"/>
      <c r="N46" s="928"/>
      <c r="O46" s="926"/>
      <c r="P46" s="926"/>
      <c r="Q46" s="929"/>
      <c r="R46" s="929"/>
      <c r="S46" s="930"/>
      <c r="T46" s="930">
        <v>73.5</v>
      </c>
      <c r="U46" s="930"/>
      <c r="V46" s="930"/>
      <c r="W46" s="930"/>
      <c r="X46" s="930"/>
      <c r="Y46" s="929"/>
      <c r="Z46" s="931"/>
      <c r="AA46" s="932"/>
    </row>
    <row r="47" spans="2:27" s="160" customFormat="1" ht="15" customHeight="1" x14ac:dyDescent="0.3">
      <c r="B47" s="890">
        <v>45967</v>
      </c>
      <c r="C47" s="891">
        <v>406821467</v>
      </c>
      <c r="D47" s="892" t="s">
        <v>1148</v>
      </c>
      <c r="E47" s="887" t="s">
        <v>1149</v>
      </c>
      <c r="F47" s="894">
        <v>505.96</v>
      </c>
      <c r="G47" s="423"/>
      <c r="H47" s="896">
        <f t="shared" si="1"/>
        <v>505.96</v>
      </c>
      <c r="I47" s="926">
        <v>84.33</v>
      </c>
      <c r="J47" s="926"/>
      <c r="K47" s="926"/>
      <c r="L47" s="926"/>
      <c r="M47" s="927"/>
      <c r="N47" s="928"/>
      <c r="O47" s="926"/>
      <c r="P47" s="926"/>
      <c r="Q47" s="929"/>
      <c r="R47" s="929"/>
      <c r="S47" s="930"/>
      <c r="T47" s="930"/>
      <c r="U47" s="930">
        <v>421.63</v>
      </c>
      <c r="V47" s="930"/>
      <c r="W47" s="930"/>
      <c r="X47" s="930"/>
      <c r="Y47" s="929"/>
      <c r="Z47" s="931"/>
      <c r="AA47" s="932"/>
    </row>
    <row r="48" spans="2:27" s="160" customFormat="1" ht="15" customHeight="1" x14ac:dyDescent="0.3">
      <c r="B48" s="890">
        <v>45967</v>
      </c>
      <c r="C48" s="891">
        <v>406821467</v>
      </c>
      <c r="D48" s="892" t="s">
        <v>1150</v>
      </c>
      <c r="E48" s="887" t="s">
        <v>1149</v>
      </c>
      <c r="F48" s="894">
        <v>88.2</v>
      </c>
      <c r="G48" s="423"/>
      <c r="H48" s="896">
        <f t="shared" si="1"/>
        <v>88.2</v>
      </c>
      <c r="I48" s="926">
        <v>14.7</v>
      </c>
      <c r="J48" s="926"/>
      <c r="K48" s="926"/>
      <c r="L48" s="926"/>
      <c r="M48" s="927"/>
      <c r="N48" s="928"/>
      <c r="O48" s="926"/>
      <c r="P48" s="926"/>
      <c r="Q48" s="929"/>
      <c r="R48" s="929"/>
      <c r="S48" s="930"/>
      <c r="T48" s="930">
        <v>73.5</v>
      </c>
      <c r="U48" s="930"/>
      <c r="V48" s="930"/>
      <c r="W48" s="930"/>
      <c r="X48" s="930"/>
      <c r="Y48" s="929"/>
      <c r="Z48" s="931"/>
      <c r="AA48" s="932"/>
    </row>
    <row r="49" spans="1:27" s="160" customFormat="1" ht="15" customHeight="1" x14ac:dyDescent="0.3">
      <c r="B49" s="890">
        <v>45813</v>
      </c>
      <c r="C49" s="891">
        <v>408556737</v>
      </c>
      <c r="D49" s="892" t="s">
        <v>1336</v>
      </c>
      <c r="E49" s="887" t="s">
        <v>1014</v>
      </c>
      <c r="F49" s="894">
        <v>95.96</v>
      </c>
      <c r="G49" s="423"/>
      <c r="H49" s="896">
        <f t="shared" si="1"/>
        <v>95.96</v>
      </c>
      <c r="I49" s="926">
        <v>16</v>
      </c>
      <c r="J49" s="926"/>
      <c r="K49" s="926"/>
      <c r="L49" s="926"/>
      <c r="M49" s="927"/>
      <c r="N49" s="928"/>
      <c r="O49" s="926"/>
      <c r="P49" s="926"/>
      <c r="Q49" s="929"/>
      <c r="R49" s="929"/>
      <c r="S49" s="930"/>
      <c r="T49" s="930">
        <v>79.959999999999994</v>
      </c>
      <c r="U49" s="930"/>
      <c r="V49" s="930"/>
      <c r="W49" s="930"/>
      <c r="X49" s="930"/>
      <c r="Y49" s="929"/>
      <c r="Z49" s="931"/>
      <c r="AA49" s="932"/>
    </row>
    <row r="50" spans="1:27" s="160" customFormat="1" ht="15" customHeight="1" x14ac:dyDescent="0.3">
      <c r="B50" s="890">
        <v>45904</v>
      </c>
      <c r="C50" s="891">
        <v>440498250</v>
      </c>
      <c r="D50" s="892" t="s">
        <v>1094</v>
      </c>
      <c r="E50" s="887" t="s">
        <v>1095</v>
      </c>
      <c r="F50" s="894">
        <v>504</v>
      </c>
      <c r="G50" s="423"/>
      <c r="H50" s="896">
        <f t="shared" si="1"/>
        <v>504</v>
      </c>
      <c r="I50" s="926">
        <v>84</v>
      </c>
      <c r="J50" s="926"/>
      <c r="K50" s="926"/>
      <c r="L50" s="926">
        <v>420</v>
      </c>
      <c r="M50" s="927"/>
      <c r="N50" s="928"/>
      <c r="O50" s="926"/>
      <c r="P50" s="926"/>
      <c r="Q50" s="929"/>
      <c r="R50" s="929"/>
      <c r="S50" s="930"/>
      <c r="T50" s="930"/>
      <c r="U50" s="930"/>
      <c r="V50" s="930"/>
      <c r="W50" s="930"/>
      <c r="X50" s="930"/>
      <c r="Y50" s="929"/>
      <c r="Z50" s="931"/>
      <c r="AA50" s="932"/>
    </row>
    <row r="51" spans="1:27" s="160" customFormat="1" ht="15" customHeight="1" x14ac:dyDescent="0.3">
      <c r="B51" s="890">
        <v>45904</v>
      </c>
      <c r="C51" s="891">
        <v>575922800</v>
      </c>
      <c r="D51" s="892" t="s">
        <v>1101</v>
      </c>
      <c r="E51" s="887" t="s">
        <v>1102</v>
      </c>
      <c r="F51" s="894">
        <v>691.2</v>
      </c>
      <c r="G51" s="423"/>
      <c r="H51" s="896">
        <f t="shared" si="1"/>
        <v>691.2</v>
      </c>
      <c r="I51" s="926">
        <v>115.2</v>
      </c>
      <c r="J51" s="926"/>
      <c r="K51" s="926"/>
      <c r="L51" s="926"/>
      <c r="M51" s="927"/>
      <c r="N51" s="928"/>
      <c r="O51" s="926"/>
      <c r="P51" s="926"/>
      <c r="Q51" s="929"/>
      <c r="R51" s="929"/>
      <c r="S51" s="930"/>
      <c r="T51" s="930"/>
      <c r="U51" s="930"/>
      <c r="V51" s="930"/>
      <c r="W51" s="930"/>
      <c r="X51" s="930"/>
      <c r="Y51" s="929"/>
      <c r="Z51" s="931">
        <v>576</v>
      </c>
      <c r="AA51" s="932"/>
    </row>
    <row r="52" spans="1:27" s="160" customFormat="1" ht="15" customHeight="1" x14ac:dyDescent="0.3">
      <c r="B52" s="890">
        <v>45967</v>
      </c>
      <c r="C52" s="891">
        <v>575922800</v>
      </c>
      <c r="D52" s="892" t="s">
        <v>1144</v>
      </c>
      <c r="E52" s="887" t="s">
        <v>1145</v>
      </c>
      <c r="F52" s="894">
        <v>12.39</v>
      </c>
      <c r="G52" s="423"/>
      <c r="H52" s="896">
        <f t="shared" si="1"/>
        <v>12.39</v>
      </c>
      <c r="I52" s="926">
        <v>2.06</v>
      </c>
      <c r="J52" s="926"/>
      <c r="K52" s="926"/>
      <c r="L52" s="926"/>
      <c r="M52" s="927"/>
      <c r="N52" s="928"/>
      <c r="O52" s="926"/>
      <c r="P52" s="926"/>
      <c r="Q52" s="929"/>
      <c r="R52" s="929"/>
      <c r="S52" s="930"/>
      <c r="T52" s="930"/>
      <c r="U52" s="930"/>
      <c r="V52" s="930"/>
      <c r="W52" s="930"/>
      <c r="X52" s="930"/>
      <c r="Y52" s="929"/>
      <c r="Z52" s="931">
        <v>10.33</v>
      </c>
      <c r="AA52" s="932"/>
    </row>
    <row r="53" spans="1:27" s="160" customFormat="1" ht="15" customHeight="1" x14ac:dyDescent="0.3">
      <c r="A53" s="868"/>
      <c r="B53" s="890">
        <v>46086</v>
      </c>
      <c r="C53" s="891">
        <v>634389517</v>
      </c>
      <c r="D53" s="892" t="s">
        <v>1297</v>
      </c>
      <c r="E53" s="887" t="s">
        <v>1298</v>
      </c>
      <c r="F53" s="894">
        <v>7970.04</v>
      </c>
      <c r="G53" s="423"/>
      <c r="H53" s="896">
        <f t="shared" si="1"/>
        <v>7970.04</v>
      </c>
      <c r="I53" s="926">
        <v>1328.34</v>
      </c>
      <c r="J53" s="926"/>
      <c r="K53" s="926"/>
      <c r="L53" s="926"/>
      <c r="M53" s="927"/>
      <c r="N53" s="928"/>
      <c r="O53" s="926"/>
      <c r="P53" s="926"/>
      <c r="Q53" s="929">
        <v>6641.7</v>
      </c>
      <c r="R53" s="929"/>
      <c r="S53" s="930"/>
      <c r="T53" s="930"/>
      <c r="U53" s="930"/>
      <c r="V53" s="930"/>
      <c r="W53" s="930"/>
      <c r="X53" s="930"/>
      <c r="Y53" s="929"/>
      <c r="Z53" s="931"/>
      <c r="AA53" s="932"/>
    </row>
    <row r="54" spans="1:27" s="160" customFormat="1" ht="15" customHeight="1" x14ac:dyDescent="0.3">
      <c r="B54" s="890">
        <v>45995</v>
      </c>
      <c r="C54" s="891">
        <v>655610439</v>
      </c>
      <c r="D54" s="892" t="s">
        <v>1218</v>
      </c>
      <c r="E54" s="887" t="s">
        <v>1219</v>
      </c>
      <c r="F54" s="894">
        <v>384</v>
      </c>
      <c r="G54" s="423"/>
      <c r="H54" s="896">
        <f t="shared" si="1"/>
        <v>384</v>
      </c>
      <c r="I54" s="926">
        <v>64</v>
      </c>
      <c r="J54" s="926"/>
      <c r="K54" s="926"/>
      <c r="L54" s="926"/>
      <c r="M54" s="927"/>
      <c r="N54" s="928"/>
      <c r="O54" s="926"/>
      <c r="P54" s="926"/>
      <c r="Q54" s="929"/>
      <c r="R54" s="929">
        <v>320</v>
      </c>
      <c r="S54" s="930"/>
      <c r="T54" s="930"/>
      <c r="U54" s="930"/>
      <c r="V54" s="930"/>
      <c r="W54" s="930"/>
      <c r="X54" s="930"/>
      <c r="Y54" s="929"/>
      <c r="Z54" s="931"/>
      <c r="AA54" s="932"/>
    </row>
    <row r="55" spans="1:27" s="160" customFormat="1" ht="15" customHeight="1" x14ac:dyDescent="0.3">
      <c r="B55" s="890">
        <v>45841</v>
      </c>
      <c r="C55" s="891">
        <v>660454836</v>
      </c>
      <c r="D55" s="892" t="s">
        <v>1348</v>
      </c>
      <c r="E55" s="887" t="s">
        <v>1029</v>
      </c>
      <c r="F55" s="894">
        <v>9.99</v>
      </c>
      <c r="G55" s="423"/>
      <c r="H55" s="896">
        <f t="shared" si="1"/>
        <v>9.99</v>
      </c>
      <c r="I55" s="926">
        <v>1.66</v>
      </c>
      <c r="J55" s="926"/>
      <c r="K55" s="926">
        <v>8.33</v>
      </c>
      <c r="L55" s="926"/>
      <c r="M55" s="927"/>
      <c r="N55" s="928"/>
      <c r="O55" s="926"/>
      <c r="P55" s="926"/>
      <c r="Q55" s="929"/>
      <c r="R55" s="929"/>
      <c r="S55" s="930"/>
      <c r="T55" s="930"/>
      <c r="U55" s="930"/>
      <c r="V55" s="930"/>
      <c r="W55" s="930"/>
      <c r="X55" s="930"/>
      <c r="Y55" s="929"/>
      <c r="Z55" s="931"/>
      <c r="AA55" s="932"/>
    </row>
    <row r="56" spans="1:27" s="160" customFormat="1" ht="15" customHeight="1" x14ac:dyDescent="0.3">
      <c r="B56" s="890">
        <v>45750</v>
      </c>
      <c r="C56" s="891">
        <v>724594615</v>
      </c>
      <c r="D56" s="892" t="s">
        <v>1346</v>
      </c>
      <c r="E56" s="893" t="s">
        <v>914</v>
      </c>
      <c r="F56" s="894">
        <v>47.36</v>
      </c>
      <c r="G56" s="422"/>
      <c r="H56" s="896">
        <f t="shared" si="1"/>
        <v>47.36</v>
      </c>
      <c r="I56" s="926">
        <v>2.06</v>
      </c>
      <c r="J56" s="926"/>
      <c r="K56" s="926">
        <v>45.3</v>
      </c>
      <c r="L56" s="926"/>
      <c r="M56" s="927"/>
      <c r="N56" s="928"/>
      <c r="O56" s="926"/>
      <c r="P56" s="926"/>
      <c r="Q56" s="929"/>
      <c r="R56" s="929"/>
      <c r="S56" s="930"/>
      <c r="T56" s="930"/>
      <c r="U56" s="930"/>
      <c r="V56" s="930"/>
      <c r="W56" s="930"/>
      <c r="X56" s="930"/>
      <c r="Y56" s="929"/>
      <c r="Z56" s="931"/>
      <c r="AA56" s="932"/>
    </row>
    <row r="57" spans="1:27" s="160" customFormat="1" ht="15" customHeight="1" x14ac:dyDescent="0.3">
      <c r="B57" s="890">
        <v>45778</v>
      </c>
      <c r="C57" s="891">
        <v>724594615</v>
      </c>
      <c r="D57" s="892" t="s">
        <v>950</v>
      </c>
      <c r="E57" s="887" t="s">
        <v>922</v>
      </c>
      <c r="F57" s="894">
        <v>19.989999999999998</v>
      </c>
      <c r="G57" s="423"/>
      <c r="H57" s="896">
        <f t="shared" si="1"/>
        <v>19.990000000000002</v>
      </c>
      <c r="I57" s="926">
        <v>3.33</v>
      </c>
      <c r="J57" s="926"/>
      <c r="K57" s="926">
        <v>16.66</v>
      </c>
      <c r="L57" s="926"/>
      <c r="M57" s="927"/>
      <c r="N57" s="928"/>
      <c r="O57" s="926"/>
      <c r="P57" s="926"/>
      <c r="Q57" s="929"/>
      <c r="R57" s="929"/>
      <c r="S57" s="930"/>
      <c r="T57" s="930"/>
      <c r="U57" s="930"/>
      <c r="V57" s="930"/>
      <c r="W57" s="930"/>
      <c r="X57" s="930"/>
      <c r="Y57" s="929"/>
      <c r="Z57" s="931"/>
      <c r="AA57" s="932"/>
    </row>
    <row r="58" spans="1:27" s="160" customFormat="1" ht="15" customHeight="1" x14ac:dyDescent="0.3">
      <c r="B58" s="890">
        <v>45778</v>
      </c>
      <c r="C58" s="891">
        <v>724594615</v>
      </c>
      <c r="D58" s="892" t="s">
        <v>1346</v>
      </c>
      <c r="E58" s="887" t="s">
        <v>922</v>
      </c>
      <c r="F58" s="894">
        <v>47.36</v>
      </c>
      <c r="G58" s="423"/>
      <c r="H58" s="896">
        <f t="shared" si="1"/>
        <v>47.36</v>
      </c>
      <c r="I58" s="926">
        <v>2.06</v>
      </c>
      <c r="J58" s="926">
        <v>45.3</v>
      </c>
      <c r="K58" s="926"/>
      <c r="L58" s="926"/>
      <c r="M58" s="927"/>
      <c r="N58" s="928"/>
      <c r="O58" s="926"/>
      <c r="P58" s="926"/>
      <c r="Q58" s="929"/>
      <c r="R58" s="929"/>
      <c r="S58" s="930"/>
      <c r="T58" s="930"/>
      <c r="U58" s="930"/>
      <c r="V58" s="930"/>
      <c r="W58" s="930"/>
      <c r="X58" s="930"/>
      <c r="Y58" s="929"/>
      <c r="Z58" s="931"/>
      <c r="AA58" s="932"/>
    </row>
    <row r="59" spans="1:27" s="160" customFormat="1" ht="15" customHeight="1" x14ac:dyDescent="0.3">
      <c r="B59" s="890">
        <v>45813</v>
      </c>
      <c r="C59" s="891">
        <v>724594615</v>
      </c>
      <c r="D59" s="892" t="s">
        <v>1346</v>
      </c>
      <c r="E59" s="887" t="s">
        <v>985</v>
      </c>
      <c r="F59" s="894">
        <v>47.36</v>
      </c>
      <c r="G59" s="423"/>
      <c r="H59" s="896">
        <f t="shared" si="1"/>
        <v>47.36</v>
      </c>
      <c r="I59" s="926">
        <v>2.06</v>
      </c>
      <c r="J59" s="926"/>
      <c r="K59" s="926">
        <v>45.3</v>
      </c>
      <c r="L59" s="926"/>
      <c r="M59" s="927"/>
      <c r="N59" s="928"/>
      <c r="O59" s="926"/>
      <c r="P59" s="926"/>
      <c r="Q59" s="929"/>
      <c r="R59" s="929"/>
      <c r="S59" s="930"/>
      <c r="T59" s="930"/>
      <c r="U59" s="930"/>
      <c r="V59" s="930"/>
      <c r="W59" s="930"/>
      <c r="X59" s="930"/>
      <c r="Y59" s="929"/>
      <c r="Z59" s="931"/>
      <c r="AA59" s="932"/>
    </row>
    <row r="60" spans="1:27" s="160" customFormat="1" ht="15" customHeight="1" x14ac:dyDescent="0.3">
      <c r="B60" s="890">
        <v>45841</v>
      </c>
      <c r="C60" s="891">
        <v>724594615</v>
      </c>
      <c r="D60" s="892" t="s">
        <v>1350</v>
      </c>
      <c r="E60" s="887" t="s">
        <v>1039</v>
      </c>
      <c r="F60" s="894">
        <v>47.56</v>
      </c>
      <c r="G60" s="423"/>
      <c r="H60" s="896">
        <f t="shared" si="1"/>
        <v>47.56</v>
      </c>
      <c r="I60" s="926">
        <v>2.06</v>
      </c>
      <c r="J60" s="926"/>
      <c r="K60" s="926">
        <v>45.5</v>
      </c>
      <c r="L60" s="926"/>
      <c r="M60" s="927"/>
      <c r="N60" s="928"/>
      <c r="O60" s="926"/>
      <c r="P60" s="926"/>
      <c r="Q60" s="929"/>
      <c r="R60" s="929"/>
      <c r="S60" s="930"/>
      <c r="T60" s="930"/>
      <c r="U60" s="930"/>
      <c r="V60" s="930"/>
      <c r="W60" s="930"/>
      <c r="X60" s="930"/>
      <c r="Y60" s="929"/>
      <c r="Z60" s="931"/>
      <c r="AA60" s="932"/>
    </row>
    <row r="61" spans="1:27" s="160" customFormat="1" ht="15" customHeight="1" x14ac:dyDescent="0.3">
      <c r="B61" s="890">
        <v>45841</v>
      </c>
      <c r="C61" s="891">
        <v>724594615</v>
      </c>
      <c r="D61" s="892" t="s">
        <v>1351</v>
      </c>
      <c r="E61" s="887" t="s">
        <v>1029</v>
      </c>
      <c r="F61" s="894">
        <v>47.36</v>
      </c>
      <c r="G61" s="423"/>
      <c r="H61" s="896">
        <f t="shared" si="1"/>
        <v>47.36</v>
      </c>
      <c r="I61" s="926">
        <v>2.06</v>
      </c>
      <c r="J61" s="926"/>
      <c r="K61" s="926">
        <v>45.3</v>
      </c>
      <c r="L61" s="926"/>
      <c r="M61" s="927"/>
      <c r="N61" s="928"/>
      <c r="O61" s="926"/>
      <c r="P61" s="926"/>
      <c r="Q61" s="929"/>
      <c r="R61" s="929"/>
      <c r="S61" s="930"/>
      <c r="T61" s="930"/>
      <c r="U61" s="930"/>
      <c r="V61" s="930"/>
      <c r="W61" s="930"/>
      <c r="X61" s="930"/>
      <c r="Y61" s="929"/>
      <c r="Z61" s="931"/>
      <c r="AA61" s="932"/>
    </row>
    <row r="62" spans="1:27" s="160" customFormat="1" ht="15" customHeight="1" x14ac:dyDescent="0.3">
      <c r="B62" s="890">
        <v>45904</v>
      </c>
      <c r="C62" s="891">
        <v>724594615</v>
      </c>
      <c r="D62" s="892" t="s">
        <v>1346</v>
      </c>
      <c r="E62" s="887" t="s">
        <v>1088</v>
      </c>
      <c r="F62" s="894">
        <v>47.56</v>
      </c>
      <c r="G62" s="423"/>
      <c r="H62" s="896">
        <f t="shared" si="1"/>
        <v>47.56</v>
      </c>
      <c r="I62" s="926">
        <v>2.06</v>
      </c>
      <c r="J62" s="926"/>
      <c r="K62" s="926">
        <v>45.5</v>
      </c>
      <c r="L62" s="926"/>
      <c r="M62" s="927"/>
      <c r="N62" s="928"/>
      <c r="O62" s="926"/>
      <c r="P62" s="926"/>
      <c r="Q62" s="929"/>
      <c r="R62" s="929"/>
      <c r="S62" s="930"/>
      <c r="T62" s="930"/>
      <c r="U62" s="930"/>
      <c r="V62" s="930"/>
      <c r="W62" s="930"/>
      <c r="X62" s="930"/>
      <c r="Y62" s="929"/>
      <c r="Z62" s="931"/>
      <c r="AA62" s="932"/>
    </row>
    <row r="63" spans="1:27" s="160" customFormat="1" ht="15" customHeight="1" x14ac:dyDescent="0.3">
      <c r="B63" s="890">
        <v>45932</v>
      </c>
      <c r="C63" s="891">
        <v>724594615</v>
      </c>
      <c r="D63" s="892" t="s">
        <v>1346</v>
      </c>
      <c r="E63" s="887" t="s">
        <v>1107</v>
      </c>
      <c r="F63" s="894">
        <v>47.36</v>
      </c>
      <c r="G63" s="423"/>
      <c r="H63" s="896">
        <f t="shared" si="1"/>
        <v>47.36</v>
      </c>
      <c r="I63" s="926">
        <v>2.06</v>
      </c>
      <c r="J63" s="926"/>
      <c r="K63" s="926">
        <v>45.3</v>
      </c>
      <c r="L63" s="926"/>
      <c r="M63" s="927"/>
      <c r="N63" s="928"/>
      <c r="O63" s="926"/>
      <c r="P63" s="926"/>
      <c r="Q63" s="929"/>
      <c r="R63" s="929"/>
      <c r="S63" s="930"/>
      <c r="T63" s="930"/>
      <c r="U63" s="930"/>
      <c r="V63" s="930"/>
      <c r="W63" s="930"/>
      <c r="X63" s="930"/>
      <c r="Y63" s="929"/>
      <c r="Z63" s="931"/>
      <c r="AA63" s="932"/>
    </row>
    <row r="64" spans="1:27" s="160" customFormat="1" ht="15" customHeight="1" x14ac:dyDescent="0.3">
      <c r="B64" s="890">
        <v>45967</v>
      </c>
      <c r="C64" s="891">
        <v>724594615</v>
      </c>
      <c r="D64" s="892" t="s">
        <v>1346</v>
      </c>
      <c r="E64" s="887" t="s">
        <v>1133</v>
      </c>
      <c r="F64" s="894">
        <v>46.52</v>
      </c>
      <c r="G64" s="423"/>
      <c r="H64" s="896">
        <f t="shared" si="1"/>
        <v>46.52</v>
      </c>
      <c r="I64" s="926">
        <v>1.92</v>
      </c>
      <c r="J64" s="926"/>
      <c r="K64" s="926">
        <v>44.6</v>
      </c>
      <c r="L64" s="926"/>
      <c r="M64" s="927"/>
      <c r="N64" s="928"/>
      <c r="O64" s="926"/>
      <c r="P64" s="926"/>
      <c r="Q64" s="929"/>
      <c r="R64" s="929"/>
      <c r="S64" s="930"/>
      <c r="T64" s="930"/>
      <c r="U64" s="930"/>
      <c r="V64" s="930"/>
      <c r="W64" s="930"/>
      <c r="X64" s="930"/>
      <c r="Y64" s="929"/>
      <c r="Z64" s="931"/>
      <c r="AA64" s="932"/>
    </row>
    <row r="65" spans="2:31" s="160" customFormat="1" ht="15" customHeight="1" x14ac:dyDescent="0.3">
      <c r="B65" s="890">
        <v>45995</v>
      </c>
      <c r="C65" s="891">
        <v>724594615</v>
      </c>
      <c r="D65" s="892" t="s">
        <v>1346</v>
      </c>
      <c r="E65" s="887" t="s">
        <v>1209</v>
      </c>
      <c r="F65" s="894">
        <v>46.52</v>
      </c>
      <c r="G65" s="423"/>
      <c r="H65" s="896">
        <f t="shared" si="1"/>
        <v>46.52</v>
      </c>
      <c r="I65" s="926">
        <v>1.92</v>
      </c>
      <c r="J65" s="926"/>
      <c r="K65" s="926">
        <v>44.6</v>
      </c>
      <c r="L65" s="926"/>
      <c r="M65" s="927"/>
      <c r="N65" s="928"/>
      <c r="O65" s="926"/>
      <c r="P65" s="926"/>
      <c r="Q65" s="929"/>
      <c r="R65" s="929"/>
      <c r="S65" s="930"/>
      <c r="T65" s="930"/>
      <c r="U65" s="930"/>
      <c r="V65" s="930"/>
      <c r="W65" s="930"/>
      <c r="X65" s="930"/>
      <c r="Y65" s="929"/>
      <c r="Z65" s="931"/>
      <c r="AA65" s="932"/>
    </row>
    <row r="66" spans="2:31" s="160" customFormat="1" ht="15" customHeight="1" x14ac:dyDescent="0.3">
      <c r="B66" s="890">
        <v>46037</v>
      </c>
      <c r="C66" s="891">
        <v>724594615</v>
      </c>
      <c r="D66" s="892" t="s">
        <v>1346</v>
      </c>
      <c r="E66" s="887" t="s">
        <v>1239</v>
      </c>
      <c r="F66" s="894">
        <v>46.52</v>
      </c>
      <c r="G66" s="423"/>
      <c r="H66" s="896">
        <f t="shared" si="1"/>
        <v>46.52</v>
      </c>
      <c r="I66" s="926">
        <v>1.92</v>
      </c>
      <c r="J66" s="926"/>
      <c r="K66" s="926">
        <v>44.6</v>
      </c>
      <c r="L66" s="926"/>
      <c r="M66" s="927"/>
      <c r="N66" s="928"/>
      <c r="O66" s="926"/>
      <c r="P66" s="926"/>
      <c r="Q66" s="929"/>
      <c r="R66" s="929"/>
      <c r="S66" s="930"/>
      <c r="T66" s="930"/>
      <c r="U66" s="930"/>
      <c r="V66" s="930"/>
      <c r="W66" s="930"/>
      <c r="X66" s="930"/>
      <c r="Y66" s="929"/>
      <c r="Z66" s="931"/>
      <c r="AA66" s="932"/>
    </row>
    <row r="67" spans="2:31" s="160" customFormat="1" ht="15" customHeight="1" x14ac:dyDescent="0.3">
      <c r="B67" s="890">
        <v>46058</v>
      </c>
      <c r="C67" s="891">
        <v>724594615</v>
      </c>
      <c r="D67" s="892" t="s">
        <v>1346</v>
      </c>
      <c r="E67" s="887" t="s">
        <v>1265</v>
      </c>
      <c r="F67" s="894">
        <v>46.52</v>
      </c>
      <c r="G67" s="423"/>
      <c r="H67" s="896">
        <f t="shared" ref="H67:H72" si="2">SUM(I67:AA67)</f>
        <v>46.52</v>
      </c>
      <c r="I67" s="926">
        <v>1.92</v>
      </c>
      <c r="J67" s="926"/>
      <c r="K67" s="926">
        <v>44.6</v>
      </c>
      <c r="L67" s="926"/>
      <c r="M67" s="927"/>
      <c r="N67" s="928"/>
      <c r="O67" s="926"/>
      <c r="P67" s="926"/>
      <c r="Q67" s="929"/>
      <c r="R67" s="929"/>
      <c r="S67" s="930"/>
      <c r="T67" s="930"/>
      <c r="U67" s="930"/>
      <c r="V67" s="930"/>
      <c r="W67" s="930"/>
      <c r="X67" s="930"/>
      <c r="Y67" s="929"/>
      <c r="Z67" s="931"/>
      <c r="AA67" s="932"/>
    </row>
    <row r="68" spans="2:31" s="160" customFormat="1" ht="15" customHeight="1" x14ac:dyDescent="0.3">
      <c r="B68" s="890">
        <v>46086</v>
      </c>
      <c r="C68" s="891">
        <v>724594615</v>
      </c>
      <c r="D68" s="892" t="s">
        <v>1346</v>
      </c>
      <c r="E68" s="887" t="s">
        <v>1287</v>
      </c>
      <c r="F68" s="894">
        <v>46.52</v>
      </c>
      <c r="G68" s="423"/>
      <c r="H68" s="896">
        <f t="shared" si="2"/>
        <v>46.52</v>
      </c>
      <c r="I68" s="926">
        <v>1.92</v>
      </c>
      <c r="J68" s="926"/>
      <c r="K68" s="926">
        <v>44.6</v>
      </c>
      <c r="L68" s="926"/>
      <c r="M68" s="927"/>
      <c r="N68" s="928"/>
      <c r="O68" s="926"/>
      <c r="P68" s="926"/>
      <c r="Q68" s="929"/>
      <c r="R68" s="929"/>
      <c r="S68" s="930"/>
      <c r="T68" s="930"/>
      <c r="U68" s="930"/>
      <c r="V68" s="930"/>
      <c r="W68" s="930"/>
      <c r="X68" s="930"/>
      <c r="Y68" s="929"/>
      <c r="Z68" s="931"/>
      <c r="AA68" s="932"/>
    </row>
    <row r="69" spans="2:31" s="160" customFormat="1" ht="15" customHeight="1" x14ac:dyDescent="0.3">
      <c r="B69" s="890">
        <v>45813</v>
      </c>
      <c r="C69" s="891">
        <v>821334463</v>
      </c>
      <c r="D69" s="892" t="s">
        <v>1337</v>
      </c>
      <c r="E69" s="887" t="s">
        <v>999</v>
      </c>
      <c r="F69" s="894">
        <v>65.739999999999995</v>
      </c>
      <c r="G69" s="423"/>
      <c r="H69" s="896">
        <f t="shared" si="2"/>
        <v>65.740000000000009</v>
      </c>
      <c r="I69" s="926">
        <v>10.96</v>
      </c>
      <c r="J69" s="926"/>
      <c r="K69" s="926"/>
      <c r="L69" s="926"/>
      <c r="M69" s="927"/>
      <c r="N69" s="928"/>
      <c r="O69" s="926"/>
      <c r="P69" s="926">
        <v>54.78</v>
      </c>
      <c r="Q69" s="929"/>
      <c r="R69" s="929"/>
      <c r="S69" s="930"/>
      <c r="T69" s="930"/>
      <c r="U69" s="930"/>
      <c r="V69" s="930"/>
      <c r="W69" s="930"/>
      <c r="X69" s="930"/>
      <c r="Y69" s="929"/>
      <c r="Z69" s="931"/>
      <c r="AA69" s="932"/>
    </row>
    <row r="70" spans="2:31" s="160" customFormat="1" ht="15" customHeight="1" x14ac:dyDescent="0.3">
      <c r="B70" s="890">
        <v>46037</v>
      </c>
      <c r="C70" s="891">
        <v>821334463</v>
      </c>
      <c r="D70" s="892" t="s">
        <v>1338</v>
      </c>
      <c r="E70" s="887" t="s">
        <v>1251</v>
      </c>
      <c r="F70" s="894">
        <v>93.27</v>
      </c>
      <c r="G70" s="423"/>
      <c r="H70" s="896">
        <f t="shared" si="2"/>
        <v>93.27</v>
      </c>
      <c r="I70" s="926">
        <v>14.88</v>
      </c>
      <c r="J70" s="926"/>
      <c r="K70" s="926"/>
      <c r="L70" s="926"/>
      <c r="M70" s="927"/>
      <c r="N70" s="928"/>
      <c r="O70" s="926"/>
      <c r="P70" s="926">
        <v>78.39</v>
      </c>
      <c r="Q70" s="929"/>
      <c r="R70" s="929"/>
      <c r="S70" s="930"/>
      <c r="T70" s="930"/>
      <c r="U70" s="930"/>
      <c r="V70" s="930"/>
      <c r="W70" s="930"/>
      <c r="X70" s="930"/>
      <c r="Y70" s="929"/>
      <c r="Z70" s="931"/>
      <c r="AA70" s="932"/>
    </row>
    <row r="71" spans="2:31" s="160" customFormat="1" ht="15" customHeight="1" x14ac:dyDescent="0.3">
      <c r="B71" s="890">
        <v>45904</v>
      </c>
      <c r="C71" s="891">
        <v>845184023</v>
      </c>
      <c r="D71" s="892" t="s">
        <v>1099</v>
      </c>
      <c r="E71" s="887" t="s">
        <v>1100</v>
      </c>
      <c r="F71" s="894">
        <v>96</v>
      </c>
      <c r="G71" s="423"/>
      <c r="H71" s="896">
        <f t="shared" si="2"/>
        <v>96</v>
      </c>
      <c r="I71" s="926">
        <v>16</v>
      </c>
      <c r="J71" s="926"/>
      <c r="K71" s="926"/>
      <c r="L71" s="926"/>
      <c r="M71" s="927"/>
      <c r="N71" s="928"/>
      <c r="O71" s="926"/>
      <c r="P71" s="926"/>
      <c r="Q71" s="929"/>
      <c r="R71" s="929"/>
      <c r="S71" s="930"/>
      <c r="T71" s="930"/>
      <c r="U71" s="930"/>
      <c r="V71" s="930"/>
      <c r="W71" s="930"/>
      <c r="X71" s="930">
        <v>80</v>
      </c>
      <c r="Y71" s="929"/>
      <c r="Z71" s="931"/>
      <c r="AA71" s="932"/>
    </row>
    <row r="72" spans="2:31" s="160" customFormat="1" ht="15" customHeight="1" x14ac:dyDescent="0.3">
      <c r="B72" s="890">
        <v>45995</v>
      </c>
      <c r="C72" s="891">
        <v>996789614</v>
      </c>
      <c r="D72" s="892" t="s">
        <v>1230</v>
      </c>
      <c r="E72" s="887" t="s">
        <v>1231</v>
      </c>
      <c r="F72" s="894">
        <v>420</v>
      </c>
      <c r="G72" s="423"/>
      <c r="H72" s="896">
        <f t="shared" si="2"/>
        <v>420</v>
      </c>
      <c r="I72" s="926">
        <v>70</v>
      </c>
      <c r="J72" s="926"/>
      <c r="K72" s="926"/>
      <c r="L72" s="926"/>
      <c r="M72" s="927">
        <v>350</v>
      </c>
      <c r="N72" s="928"/>
      <c r="O72" s="926"/>
      <c r="P72" s="926"/>
      <c r="Q72" s="929"/>
      <c r="R72" s="929"/>
      <c r="S72" s="930"/>
      <c r="T72" s="930"/>
      <c r="U72" s="930"/>
      <c r="V72" s="930"/>
      <c r="W72" s="930"/>
      <c r="X72" s="930"/>
      <c r="Y72" s="929"/>
      <c r="Z72" s="931"/>
      <c r="AA72" s="932"/>
    </row>
    <row r="73" spans="2:31" s="104" customFormat="1" ht="16.2" thickBot="1" x14ac:dyDescent="0.35">
      <c r="B73" s="903"/>
      <c r="C73" s="904"/>
      <c r="D73" s="905" t="s">
        <v>104</v>
      </c>
      <c r="E73" s="905"/>
      <c r="F73" s="906">
        <f>SUM(F3:F72)</f>
        <v>37125.819999999985</v>
      </c>
      <c r="G73" s="173"/>
      <c r="H73" s="937">
        <f t="shared" ref="H73:AA73" si="3">SUM(H3:H72)</f>
        <v>37125.819999999985</v>
      </c>
      <c r="I73" s="938">
        <f t="shared" si="3"/>
        <v>6074.9400000000005</v>
      </c>
      <c r="J73" s="939">
        <f t="shared" si="3"/>
        <v>62.42</v>
      </c>
      <c r="K73" s="939">
        <f t="shared" si="3"/>
        <v>567.71</v>
      </c>
      <c r="L73" s="939">
        <f t="shared" si="3"/>
        <v>420</v>
      </c>
      <c r="M73" s="906">
        <f t="shared" si="3"/>
        <v>350</v>
      </c>
      <c r="N73" s="939">
        <f t="shared" si="3"/>
        <v>2710.03</v>
      </c>
      <c r="O73" s="906">
        <f t="shared" si="3"/>
        <v>148.80000000000001</v>
      </c>
      <c r="P73" s="906">
        <f t="shared" si="3"/>
        <v>133.17000000000002</v>
      </c>
      <c r="Q73" s="940">
        <f t="shared" si="3"/>
        <v>18681.7</v>
      </c>
      <c r="R73" s="940">
        <f t="shared" si="3"/>
        <v>680</v>
      </c>
      <c r="S73" s="941">
        <f t="shared" si="3"/>
        <v>2094</v>
      </c>
      <c r="T73" s="941">
        <f t="shared" si="3"/>
        <v>1323.63</v>
      </c>
      <c r="U73" s="941">
        <f t="shared" si="3"/>
        <v>524.13</v>
      </c>
      <c r="V73" s="941">
        <f t="shared" si="3"/>
        <v>328.76</v>
      </c>
      <c r="W73" s="941">
        <f t="shared" si="3"/>
        <v>142</v>
      </c>
      <c r="X73" s="941">
        <f t="shared" si="3"/>
        <v>161.48000000000002</v>
      </c>
      <c r="Y73" s="941">
        <f t="shared" si="3"/>
        <v>1882.44</v>
      </c>
      <c r="Z73" s="941">
        <f t="shared" si="3"/>
        <v>586.33000000000004</v>
      </c>
      <c r="AA73" s="941">
        <f t="shared" si="3"/>
        <v>254.28</v>
      </c>
      <c r="AB73" s="104" t="s">
        <v>1254</v>
      </c>
    </row>
    <row r="74" spans="2:31" ht="16.2" thickTop="1" x14ac:dyDescent="0.3">
      <c r="B74" s="105"/>
      <c r="C74" s="106"/>
      <c r="D74" s="1"/>
      <c r="E74" s="7"/>
      <c r="F74" s="89"/>
      <c r="G74" s="5"/>
      <c r="H74" s="942"/>
      <c r="I74" s="942"/>
      <c r="J74" s="942"/>
      <c r="K74" s="942"/>
      <c r="L74" s="942"/>
      <c r="M74" s="942"/>
      <c r="N74" s="942"/>
      <c r="O74" s="942"/>
      <c r="P74" s="942"/>
      <c r="Q74" s="942"/>
      <c r="R74" s="942"/>
      <c r="S74" s="943"/>
      <c r="T74" s="943"/>
      <c r="U74" s="943"/>
      <c r="V74" s="943"/>
      <c r="W74" s="943"/>
      <c r="X74" s="943"/>
      <c r="Y74" s="943"/>
      <c r="Z74" s="944" t="s">
        <v>810</v>
      </c>
      <c r="AA74" s="945">
        <f>SUM(S73:AA73)</f>
        <v>7297.05</v>
      </c>
      <c r="AB74" s="572" t="s">
        <v>665</v>
      </c>
      <c r="AE74"/>
    </row>
  </sheetData>
  <sortState xmlns:xlrd2="http://schemas.microsoft.com/office/spreadsheetml/2017/richdata2" ref="A3:AI72">
    <sortCondition ref="C3:C72"/>
    <sortCondition ref="B3:B7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6A38-5476-497E-9AE2-70396CEE3E74}">
  <dimension ref="A1"/>
  <sheetViews>
    <sheetView workbookViewId="0">
      <selection activeCell="I25" sqref="B1:I25"/>
    </sheetView>
  </sheetViews>
  <sheetFormatPr defaultRowHeight="14.4" x14ac:dyDescent="0.3"/>
  <cols>
    <col min="3" max="3" width="43.109375" bestFit="1" customWidth="1"/>
    <col min="5" max="5" width="11.33203125" bestFit="1" customWidth="1"/>
  </cols>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49C7C-014D-4865-A13C-3E9C01D764FB}">
  <sheetPr>
    <pageSetUpPr fitToPage="1"/>
  </sheetPr>
  <dimension ref="A1:CH61"/>
  <sheetViews>
    <sheetView zoomScale="75" zoomScaleNormal="75" workbookViewId="0">
      <pane xSplit="44" ySplit="2" topLeftCell="BG3" activePane="bottomRight" state="frozen"/>
      <selection pane="topRight" activeCell="AS1" sqref="AS1"/>
      <selection pane="bottomLeft" activeCell="A3" sqref="A3"/>
      <selection pane="bottomRight" activeCell="BY7" sqref="BY7"/>
    </sheetView>
  </sheetViews>
  <sheetFormatPr defaultColWidth="10.44140625" defaultRowHeight="15.6" x14ac:dyDescent="0.3"/>
  <cols>
    <col min="1" max="1" width="25.88671875" customWidth="1"/>
    <col min="2" max="2" width="10.44140625" hidden="1" customWidth="1"/>
    <col min="3" max="3" width="10.44140625" style="298" hidden="1" customWidth="1"/>
    <col min="4" max="4" width="10.44140625" hidden="1" customWidth="1"/>
    <col min="5" max="5" width="9.6640625" hidden="1" customWidth="1"/>
    <col min="6" max="6" width="10.109375" hidden="1" customWidth="1"/>
    <col min="7" max="7" width="10.44140625" hidden="1" customWidth="1"/>
    <col min="8" max="8" width="10.6640625" hidden="1" customWidth="1"/>
    <col min="9" max="10" width="10.33203125" hidden="1" customWidth="1"/>
    <col min="11" max="11" width="10.44140625" hidden="1" customWidth="1"/>
    <col min="12" max="12" width="10.44140625" style="89" hidden="1" customWidth="1"/>
    <col min="13" max="13" width="10.44140625" style="90" hidden="1" customWidth="1"/>
    <col min="14" max="17" width="10.44140625" hidden="1" customWidth="1"/>
    <col min="18" max="18" width="10.44140625" style="89" hidden="1" customWidth="1"/>
    <col min="19" max="19" width="10.44140625" hidden="1" customWidth="1"/>
    <col min="20" max="24" width="10.44140625" style="90" hidden="1" customWidth="1"/>
    <col min="25" max="25" width="10.6640625" style="9" hidden="1" customWidth="1"/>
    <col min="26" max="26" width="10.5546875" style="90" hidden="1" customWidth="1"/>
    <col min="27" max="27" width="10.44140625" style="90" hidden="1" customWidth="1"/>
    <col min="28" max="28" width="11" style="89" hidden="1" customWidth="1"/>
    <col min="29" max="29" width="10.44140625" style="89" hidden="1" customWidth="1"/>
    <col min="30" max="30" width="10.88671875" style="90" hidden="1" customWidth="1"/>
    <col min="31" max="31" width="39" hidden="1" customWidth="1"/>
    <col min="32" max="32" width="10.44140625" hidden="1" customWidth="1"/>
    <col min="33" max="33" width="9" style="98" hidden="1" customWidth="1"/>
    <col min="34" max="34" width="11.5546875" style="9" hidden="1" customWidth="1"/>
    <col min="35" max="35" width="11.5546875" style="294" hidden="1" customWidth="1"/>
    <col min="36" max="36" width="11.5546875" style="295" hidden="1" customWidth="1"/>
    <col min="37" max="37" width="11.5546875" style="296" hidden="1" customWidth="1"/>
    <col min="38" max="41" width="11.5546875" style="191" hidden="1" customWidth="1"/>
    <col min="42" max="42" width="11.5546875" style="297" hidden="1" customWidth="1"/>
    <col min="43" max="43" width="11.33203125" style="9" hidden="1" customWidth="1"/>
    <col min="44" max="44" width="11.5546875" style="191" hidden="1" customWidth="1"/>
    <col min="45" max="45" width="14.44140625" style="52" hidden="1" customWidth="1"/>
    <col min="46" max="46" width="10.33203125" style="52" hidden="1" customWidth="1"/>
    <col min="47" max="47" width="17.44140625" style="52" hidden="1" customWidth="1"/>
    <col min="48" max="48" width="11.33203125" style="52" hidden="1" customWidth="1"/>
    <col min="49" max="49" width="13.6640625" style="52" hidden="1" customWidth="1"/>
    <col min="50" max="50" width="11.33203125" style="52" hidden="1" customWidth="1"/>
    <col min="51" max="51" width="13.88671875" style="9" hidden="1" customWidth="1"/>
    <col min="52" max="52" width="13.6640625" style="9" hidden="1" customWidth="1"/>
    <col min="53" max="53" width="11.33203125" style="9" hidden="1" customWidth="1"/>
    <col min="54" max="54" width="15.33203125" style="9" hidden="1" customWidth="1"/>
    <col min="55" max="55" width="14.44140625" style="9" hidden="1" customWidth="1"/>
    <col min="56" max="56" width="13.44140625" style="203" hidden="1" customWidth="1"/>
    <col min="57" max="57" width="13.33203125" hidden="1" customWidth="1"/>
    <col min="58" max="58" width="11.33203125" style="191" hidden="1" customWidth="1"/>
    <col min="59" max="59" width="15.6640625" customWidth="1"/>
    <col min="60" max="60" width="15.6640625" style="436" hidden="1" customWidth="1"/>
    <col min="61" max="61" width="15.5546875" style="447" hidden="1" customWidth="1"/>
    <col min="62" max="62" width="16.21875" style="447" hidden="1" customWidth="1"/>
    <col min="63" max="63" width="15" style="452" hidden="1" customWidth="1"/>
    <col min="64" max="64" width="30.44140625" style="467" hidden="1" customWidth="1"/>
    <col min="65" max="65" width="14.88671875" style="379" customWidth="1"/>
    <col min="66" max="66" width="14.77734375" style="416" hidden="1" customWidth="1"/>
    <col min="67" max="67" width="16.44140625" style="416" customWidth="1"/>
    <col min="68" max="68" width="25.6640625" style="159" hidden="1" customWidth="1"/>
    <col min="69" max="69" width="17.77734375" style="159" customWidth="1"/>
    <col min="71" max="71" width="18.88671875" hidden="1" customWidth="1"/>
    <col min="72" max="72" width="12.6640625" hidden="1" customWidth="1"/>
    <col min="73" max="73" width="10.109375" hidden="1" customWidth="1"/>
    <col min="74" max="74" width="11.33203125" hidden="1" customWidth="1"/>
    <col min="75" max="75" width="10.44140625" hidden="1" customWidth="1"/>
    <col min="77" max="77" width="51" customWidth="1"/>
    <col min="78" max="78" width="13.77734375" bestFit="1" customWidth="1"/>
    <col min="79" max="79" width="13.77734375" customWidth="1"/>
    <col min="80" max="80" width="15" customWidth="1"/>
    <col min="81" max="81" width="48.21875" style="311" customWidth="1"/>
    <col min="82" max="82" width="9.33203125" customWidth="1"/>
  </cols>
  <sheetData>
    <row r="1" spans="1:82" ht="30" customHeight="1" thickBot="1" x14ac:dyDescent="0.35">
      <c r="A1" s="407" t="s">
        <v>12</v>
      </c>
      <c r="B1" s="11" t="s">
        <v>13</v>
      </c>
      <c r="C1" s="12" t="s">
        <v>14</v>
      </c>
      <c r="D1" s="13" t="s">
        <v>15</v>
      </c>
      <c r="E1" s="14" t="s">
        <v>14</v>
      </c>
      <c r="F1" s="15" t="s">
        <v>14</v>
      </c>
      <c r="G1" s="11" t="s">
        <v>15</v>
      </c>
      <c r="H1" s="15" t="s">
        <v>14</v>
      </c>
      <c r="I1" s="11" t="s">
        <v>13</v>
      </c>
      <c r="J1" s="15" t="s">
        <v>16</v>
      </c>
      <c r="K1" s="16" t="s">
        <v>17</v>
      </c>
      <c r="L1" s="15" t="s">
        <v>14</v>
      </c>
      <c r="M1" s="17" t="s">
        <v>17</v>
      </c>
      <c r="N1" s="190" t="s">
        <v>18</v>
      </c>
      <c r="O1" s="18" t="s">
        <v>1</v>
      </c>
      <c r="P1" s="18" t="s">
        <v>19</v>
      </c>
      <c r="Q1" s="19" t="s">
        <v>20</v>
      </c>
      <c r="R1" s="20" t="s">
        <v>20</v>
      </c>
      <c r="S1" s="19" t="s">
        <v>21</v>
      </c>
      <c r="T1" s="256" t="s">
        <v>17</v>
      </c>
      <c r="U1" s="15" t="s">
        <v>22</v>
      </c>
      <c r="V1" s="257" t="s">
        <v>23</v>
      </c>
      <c r="W1" s="257" t="s">
        <v>22</v>
      </c>
      <c r="X1" s="257" t="s">
        <v>23</v>
      </c>
      <c r="Y1" s="190" t="s">
        <v>18</v>
      </c>
      <c r="Z1" s="257" t="s">
        <v>23</v>
      </c>
      <c r="AA1" s="256" t="s">
        <v>17</v>
      </c>
      <c r="AB1" s="21" t="s">
        <v>24</v>
      </c>
      <c r="AC1" s="21"/>
      <c r="AD1" s="256" t="s">
        <v>25</v>
      </c>
      <c r="AE1" s="19" t="s">
        <v>20</v>
      </c>
      <c r="AF1" s="258" t="s">
        <v>18</v>
      </c>
      <c r="AG1" s="22"/>
      <c r="AH1" s="256" t="s">
        <v>17</v>
      </c>
      <c r="AI1" s="259"/>
      <c r="AJ1" s="259"/>
      <c r="AK1" s="190" t="s">
        <v>135</v>
      </c>
      <c r="AL1" s="189" t="s">
        <v>136</v>
      </c>
      <c r="AM1" s="189"/>
      <c r="AN1" s="189"/>
      <c r="AO1" s="189"/>
      <c r="AP1" s="260"/>
      <c r="AQ1" s="194" t="s">
        <v>26</v>
      </c>
      <c r="AR1" s="189" t="s">
        <v>18</v>
      </c>
      <c r="AS1" s="194" t="s">
        <v>17</v>
      </c>
      <c r="AT1" s="194"/>
      <c r="AU1" s="194"/>
      <c r="AV1" s="194"/>
      <c r="AW1" s="189" t="s">
        <v>14</v>
      </c>
      <c r="AX1" s="194"/>
      <c r="AY1" s="410" t="s">
        <v>17</v>
      </c>
      <c r="AZ1" s="409" t="s">
        <v>14</v>
      </c>
      <c r="BA1" s="410"/>
      <c r="BB1" s="410"/>
      <c r="BC1" s="410" t="s">
        <v>17</v>
      </c>
      <c r="BD1" s="411"/>
      <c r="BE1" s="461" t="s">
        <v>14</v>
      </c>
      <c r="BF1" s="412" t="s">
        <v>242</v>
      </c>
      <c r="BG1" s="421" t="s">
        <v>17</v>
      </c>
      <c r="BH1" s="432" t="s">
        <v>238</v>
      </c>
      <c r="BI1" s="417" t="s">
        <v>263</v>
      </c>
      <c r="BJ1" s="417" t="s">
        <v>263</v>
      </c>
      <c r="BK1" s="417" t="s">
        <v>264</v>
      </c>
      <c r="BL1" s="462" t="s">
        <v>257</v>
      </c>
      <c r="BM1" s="408" t="s">
        <v>238</v>
      </c>
      <c r="BN1" s="437" t="s">
        <v>270</v>
      </c>
      <c r="BO1" s="437" t="s">
        <v>269</v>
      </c>
      <c r="BP1" s="462" t="s">
        <v>260</v>
      </c>
      <c r="BQ1" s="430"/>
      <c r="BR1" s="19"/>
      <c r="BS1" s="226" t="s">
        <v>211</v>
      </c>
      <c r="BU1" s="241"/>
      <c r="BV1" s="241"/>
      <c r="BW1" s="228">
        <v>44500</v>
      </c>
      <c r="BY1" s="312" t="s">
        <v>272</v>
      </c>
      <c r="BZ1" s="313"/>
      <c r="CA1" s="314"/>
      <c r="CB1" s="315"/>
      <c r="CC1" s="463" t="s">
        <v>248</v>
      </c>
    </row>
    <row r="2" spans="1:82" ht="30" customHeight="1" x14ac:dyDescent="0.3">
      <c r="A2" s="413"/>
      <c r="B2" s="11" t="s">
        <v>27</v>
      </c>
      <c r="C2" s="24" t="s">
        <v>27</v>
      </c>
      <c r="D2" s="13" t="s">
        <v>28</v>
      </c>
      <c r="E2" s="14" t="s">
        <v>29</v>
      </c>
      <c r="F2" s="14" t="s">
        <v>30</v>
      </c>
      <c r="G2" s="13" t="s">
        <v>31</v>
      </c>
      <c r="H2" s="14" t="s">
        <v>32</v>
      </c>
      <c r="I2" s="11" t="s">
        <v>33</v>
      </c>
      <c r="J2" s="15" t="s">
        <v>34</v>
      </c>
      <c r="K2" s="17" t="s">
        <v>35</v>
      </c>
      <c r="L2" s="15" t="s">
        <v>36</v>
      </c>
      <c r="M2" s="17" t="s">
        <v>20</v>
      </c>
      <c r="N2" s="15" t="s">
        <v>20</v>
      </c>
      <c r="O2" s="25" t="s">
        <v>37</v>
      </c>
      <c r="P2" s="25" t="s">
        <v>38</v>
      </c>
      <c r="Q2" s="23" t="s">
        <v>39</v>
      </c>
      <c r="R2" s="25" t="s">
        <v>40</v>
      </c>
      <c r="S2" s="19" t="s">
        <v>41</v>
      </c>
      <c r="T2" s="261" t="s">
        <v>42</v>
      </c>
      <c r="U2" s="15" t="s">
        <v>43</v>
      </c>
      <c r="V2" s="188" t="s">
        <v>44</v>
      </c>
      <c r="W2" s="188" t="s">
        <v>45</v>
      </c>
      <c r="X2" s="188" t="s">
        <v>44</v>
      </c>
      <c r="Y2" s="15" t="s">
        <v>42</v>
      </c>
      <c r="Z2" s="15" t="s">
        <v>44</v>
      </c>
      <c r="AA2" s="17" t="s">
        <v>82</v>
      </c>
      <c r="AB2" s="26" t="s">
        <v>46</v>
      </c>
      <c r="AC2" s="27" t="s">
        <v>47</v>
      </c>
      <c r="AD2" s="16" t="s">
        <v>48</v>
      </c>
      <c r="AE2" s="23" t="s">
        <v>48</v>
      </c>
      <c r="AF2" s="26" t="s">
        <v>82</v>
      </c>
      <c r="AG2" s="28" t="s">
        <v>118</v>
      </c>
      <c r="AH2" s="17" t="s">
        <v>49</v>
      </c>
      <c r="AI2" s="26" t="s">
        <v>125</v>
      </c>
      <c r="AJ2" s="175" t="s">
        <v>126</v>
      </c>
      <c r="AK2" s="26" t="s">
        <v>131</v>
      </c>
      <c r="AL2" s="175" t="s">
        <v>132</v>
      </c>
      <c r="AM2" s="176" t="s">
        <v>144</v>
      </c>
      <c r="AN2" s="176" t="s">
        <v>145</v>
      </c>
      <c r="AO2" s="175" t="s">
        <v>146</v>
      </c>
      <c r="AP2" s="177" t="s">
        <v>151</v>
      </c>
      <c r="AR2" s="192">
        <v>43921</v>
      </c>
      <c r="AS2" s="338" t="s">
        <v>158</v>
      </c>
      <c r="AT2" s="339" t="s">
        <v>163</v>
      </c>
      <c r="AU2" s="339" t="s">
        <v>160</v>
      </c>
      <c r="AV2" s="339" t="s">
        <v>155</v>
      </c>
      <c r="AW2" s="340">
        <v>44286</v>
      </c>
      <c r="AX2" s="341" t="s">
        <v>181</v>
      </c>
      <c r="AY2" s="342" t="s">
        <v>235</v>
      </c>
      <c r="AZ2" s="343">
        <v>44651</v>
      </c>
      <c r="BA2" s="344" t="s">
        <v>201</v>
      </c>
      <c r="BB2" s="344" t="s">
        <v>212</v>
      </c>
      <c r="BC2" s="342" t="s">
        <v>211</v>
      </c>
      <c r="BD2" s="342" t="s">
        <v>213</v>
      </c>
      <c r="BE2" s="424">
        <v>45016</v>
      </c>
      <c r="BF2" s="339" t="s">
        <v>211</v>
      </c>
      <c r="BG2" s="419" t="s">
        <v>243</v>
      </c>
      <c r="BH2" s="443" t="s">
        <v>262</v>
      </c>
      <c r="BI2" s="449" t="s">
        <v>275</v>
      </c>
      <c r="BJ2" s="480">
        <v>45382</v>
      </c>
      <c r="BK2" s="469" t="s">
        <v>23</v>
      </c>
      <c r="BL2" s="466"/>
      <c r="BM2" s="446" t="s">
        <v>256</v>
      </c>
      <c r="BN2" s="441" t="s">
        <v>259</v>
      </c>
      <c r="BO2" s="475" t="s">
        <v>259</v>
      </c>
      <c r="BP2" s="380"/>
      <c r="BQ2" s="380"/>
      <c r="BR2" s="6"/>
      <c r="BS2" s="229" t="s">
        <v>17</v>
      </c>
      <c r="BT2" s="227" t="s">
        <v>219</v>
      </c>
      <c r="BU2" s="230"/>
      <c r="BV2" s="230"/>
      <c r="BW2" s="231">
        <v>68890.179999999993</v>
      </c>
      <c r="BY2" s="316" t="s">
        <v>274</v>
      </c>
      <c r="BZ2" s="317"/>
      <c r="CA2" s="317"/>
      <c r="CB2" s="482">
        <f>BO34</f>
        <v>88846.94</v>
      </c>
      <c r="CC2" s="463" t="s">
        <v>273</v>
      </c>
    </row>
    <row r="3" spans="1:82" ht="30" customHeight="1" x14ac:dyDescent="0.3">
      <c r="A3" s="413"/>
      <c r="B3" s="11"/>
      <c r="C3" s="24"/>
      <c r="D3" s="13"/>
      <c r="E3" s="14"/>
      <c r="F3" s="14"/>
      <c r="G3" s="13"/>
      <c r="H3" s="14"/>
      <c r="I3" s="11"/>
      <c r="J3" s="15"/>
      <c r="K3" s="17"/>
      <c r="L3" s="15"/>
      <c r="M3" s="17"/>
      <c r="N3" s="262"/>
      <c r="O3" s="29"/>
      <c r="P3" s="29"/>
      <c r="Q3" s="19"/>
      <c r="R3" s="30"/>
      <c r="S3" s="31">
        <f>11/12</f>
        <v>0.91666666666666663</v>
      </c>
      <c r="T3" s="32"/>
      <c r="U3" s="33"/>
      <c r="V3" s="33">
        <f>4/12</f>
        <v>0.33333333333333331</v>
      </c>
      <c r="W3" s="34"/>
      <c r="X3" s="33">
        <f>9/12</f>
        <v>0.75</v>
      </c>
      <c r="Y3" s="35"/>
      <c r="Z3" s="36">
        <f>12/12</f>
        <v>1</v>
      </c>
      <c r="AA3" s="37"/>
      <c r="AB3" s="38"/>
      <c r="AC3" s="39">
        <f>6/12</f>
        <v>0.5</v>
      </c>
      <c r="AD3" s="41"/>
      <c r="AE3" s="19"/>
      <c r="AF3" s="62"/>
      <c r="AG3" s="40">
        <f>12/12</f>
        <v>1</v>
      </c>
      <c r="AH3" s="42"/>
      <c r="AI3" s="263"/>
      <c r="AJ3" s="178">
        <f>4/12</f>
        <v>0.33333333333333331</v>
      </c>
      <c r="AK3" s="62"/>
      <c r="AL3" s="179">
        <f>7/12</f>
        <v>0.58333333333333337</v>
      </c>
      <c r="AM3" s="180"/>
      <c r="AN3" s="180"/>
      <c r="AO3" s="181"/>
      <c r="AP3" s="182"/>
      <c r="AQ3" s="264"/>
      <c r="AR3" s="181"/>
      <c r="AS3" s="345"/>
      <c r="AT3" s="345"/>
      <c r="AU3" s="345"/>
      <c r="AV3" s="345"/>
      <c r="AW3" s="346"/>
      <c r="AX3" s="346"/>
      <c r="AY3" s="345"/>
      <c r="AZ3" s="345"/>
      <c r="BA3" s="347">
        <f>7/12</f>
        <v>0.58333333333333337</v>
      </c>
      <c r="BB3" s="345"/>
      <c r="BC3" s="345"/>
      <c r="BD3" s="348"/>
      <c r="BE3" s="425"/>
      <c r="BF3" s="350">
        <f>8/12</f>
        <v>0.66666666666666663</v>
      </c>
      <c r="BG3" s="418"/>
      <c r="BH3" s="444"/>
      <c r="BI3" s="450"/>
      <c r="BJ3" s="470"/>
      <c r="BK3" s="471">
        <f>8/12</f>
        <v>0.66666666666666663</v>
      </c>
      <c r="BM3" s="445"/>
      <c r="BN3" s="442"/>
      <c r="BO3" s="476"/>
      <c r="BS3" s="232" t="s">
        <v>53</v>
      </c>
      <c r="BT3" s="233">
        <v>44652</v>
      </c>
      <c r="BU3" s="233"/>
      <c r="BV3" s="233"/>
      <c r="BW3" s="234"/>
      <c r="BY3" s="319" t="s">
        <v>53</v>
      </c>
      <c r="BZ3" s="320" t="s">
        <v>246</v>
      </c>
      <c r="CA3" s="321">
        <v>45383</v>
      </c>
      <c r="CB3" s="322"/>
      <c r="CC3" s="463"/>
    </row>
    <row r="4" spans="1:82" ht="56.4" customHeight="1" x14ac:dyDescent="0.3">
      <c r="A4" s="415" t="s">
        <v>51</v>
      </c>
      <c r="B4" s="44">
        <v>1600</v>
      </c>
      <c r="C4" s="265">
        <v>1309.8699999999999</v>
      </c>
      <c r="D4" s="45">
        <v>1800</v>
      </c>
      <c r="E4" s="46">
        <v>1561.06</v>
      </c>
      <c r="F4" s="46">
        <v>2146.77</v>
      </c>
      <c r="G4" s="45">
        <v>1900</v>
      </c>
      <c r="H4" s="46">
        <v>1905.67</v>
      </c>
      <c r="I4" s="44">
        <v>2200</v>
      </c>
      <c r="J4" s="47">
        <v>1947.34</v>
      </c>
      <c r="K4" s="48">
        <v>2200</v>
      </c>
      <c r="L4" s="49">
        <v>1791.06</v>
      </c>
      <c r="M4" s="50">
        <v>2000</v>
      </c>
      <c r="N4" s="62">
        <v>1840.79</v>
      </c>
      <c r="O4" s="51">
        <v>0</v>
      </c>
      <c r="P4" s="95">
        <f>N4+O4</f>
        <v>1840.79</v>
      </c>
      <c r="Q4" s="52"/>
      <c r="R4" s="53">
        <f>P4+Q4</f>
        <v>1840.79</v>
      </c>
      <c r="S4" s="54">
        <f>R4/M4</f>
        <v>0.92039499999999996</v>
      </c>
      <c r="T4" s="55">
        <v>2000</v>
      </c>
      <c r="U4" s="34">
        <v>553.14</v>
      </c>
      <c r="V4" s="33">
        <f>U4/T4</f>
        <v>0.27656999999999998</v>
      </c>
      <c r="W4" s="34">
        <v>1290.6600000000001</v>
      </c>
      <c r="X4" s="33">
        <f>W4/T4</f>
        <v>0.64533000000000007</v>
      </c>
      <c r="Y4" s="56">
        <v>1475.04</v>
      </c>
      <c r="Z4" s="33">
        <f>Y4/T4</f>
        <v>0.73751999999999995</v>
      </c>
      <c r="AA4" s="55">
        <v>1750</v>
      </c>
      <c r="AB4" s="57">
        <v>766.32</v>
      </c>
      <c r="AC4" s="58">
        <f>AB4/AA4</f>
        <v>0.43789714285714287</v>
      </c>
      <c r="AD4" s="59"/>
      <c r="AE4" s="266" t="s">
        <v>52</v>
      </c>
      <c r="AF4" s="49">
        <v>1149.48</v>
      </c>
      <c r="AG4" s="58">
        <f>AF4/AA4</f>
        <v>0.65684571428571425</v>
      </c>
      <c r="AH4" s="69">
        <v>1750</v>
      </c>
      <c r="AI4" s="267">
        <v>589.08000000000004</v>
      </c>
      <c r="AJ4" s="178">
        <f>AI4/AH4</f>
        <v>0.33661714285714289</v>
      </c>
      <c r="AK4" s="268">
        <v>1178.1600000000001</v>
      </c>
      <c r="AL4" s="179">
        <f>AK4/AH4</f>
        <v>0.67323428571428579</v>
      </c>
      <c r="AM4" s="56">
        <v>572</v>
      </c>
      <c r="AN4" s="56">
        <f>AM4+AK4</f>
        <v>1750.16</v>
      </c>
      <c r="AO4" s="179">
        <f>AN4/AH4</f>
        <v>1.0000914285714286</v>
      </c>
      <c r="AP4" s="183"/>
      <c r="AQ4" s="269"/>
      <c r="AR4" s="56">
        <v>1472.7</v>
      </c>
      <c r="AS4" s="348">
        <v>1800</v>
      </c>
      <c r="AT4" s="351">
        <f>'[1]Current Account'!N156</f>
        <v>1444.1000000000001</v>
      </c>
      <c r="AU4" s="351">
        <v>1516.95</v>
      </c>
      <c r="AV4" s="347">
        <f>AU4/AS4</f>
        <v>0.84275</v>
      </c>
      <c r="AW4" s="352">
        <v>1516.95</v>
      </c>
      <c r="AX4" s="353">
        <f>AW4/AS4</f>
        <v>0.84275</v>
      </c>
      <c r="AY4" s="354">
        <v>2000</v>
      </c>
      <c r="AZ4" s="352">
        <f>'[1]Current Account'!N156</f>
        <v>1444.1000000000001</v>
      </c>
      <c r="BA4" s="353">
        <f>AZ4/AY4</f>
        <v>0.72205000000000008</v>
      </c>
      <c r="BB4" s="355"/>
      <c r="BC4" s="354">
        <v>2200</v>
      </c>
      <c r="BD4" s="356" t="s">
        <v>210</v>
      </c>
      <c r="BE4" s="425">
        <v>1312.08</v>
      </c>
      <c r="BF4" s="350">
        <f>BM4/BC4</f>
        <v>0</v>
      </c>
      <c r="BG4" s="418">
        <v>1600</v>
      </c>
      <c r="BH4" s="433">
        <v>0</v>
      </c>
      <c r="BI4" s="376">
        <v>0</v>
      </c>
      <c r="BJ4" s="472">
        <f t="shared" ref="BJ4:BJ28" si="0">BH4+BI4</f>
        <v>0</v>
      </c>
      <c r="BK4" s="473">
        <f>BJ4/BG4</f>
        <v>0</v>
      </c>
      <c r="BL4" s="468" t="s">
        <v>258</v>
      </c>
      <c r="BM4" s="445">
        <f>'[2]Current Account'!N172</f>
        <v>0</v>
      </c>
      <c r="BN4" s="440">
        <v>0</v>
      </c>
      <c r="BO4" s="477">
        <v>0</v>
      </c>
      <c r="BP4" s="431" t="s">
        <v>261</v>
      </c>
      <c r="BQ4" s="431"/>
      <c r="BR4" s="311"/>
      <c r="BS4" s="235" t="s">
        <v>191</v>
      </c>
      <c r="BT4" s="236">
        <v>16572</v>
      </c>
      <c r="BU4" s="236"/>
      <c r="BV4" s="236"/>
      <c r="BW4" s="237"/>
      <c r="BY4" s="323" t="s">
        <v>277</v>
      </c>
      <c r="BZ4" s="320">
        <v>14768.2</v>
      </c>
      <c r="CA4" s="481">
        <v>20000</v>
      </c>
      <c r="CB4" s="322"/>
      <c r="CC4" s="463" t="s">
        <v>280</v>
      </c>
    </row>
    <row r="5" spans="1:82" ht="109.2" customHeight="1" x14ac:dyDescent="0.3">
      <c r="A5" s="415" t="s">
        <v>54</v>
      </c>
      <c r="B5" s="61">
        <v>3062.5</v>
      </c>
      <c r="C5" s="265">
        <v>7483.7</v>
      </c>
      <c r="D5" s="45">
        <v>3120</v>
      </c>
      <c r="E5" s="46">
        <v>7831.44</v>
      </c>
      <c r="F5" s="46">
        <v>7829.44</v>
      </c>
      <c r="G5" s="45">
        <v>7833</v>
      </c>
      <c r="H5" s="46">
        <v>7925.04</v>
      </c>
      <c r="I5" s="44">
        <v>8215</v>
      </c>
      <c r="J5" s="47">
        <v>8209.2000000000007</v>
      </c>
      <c r="K5" s="48">
        <v>8250</v>
      </c>
      <c r="L5" s="62">
        <v>8630.7999999999993</v>
      </c>
      <c r="M5" s="63">
        <v>10018.799999999999</v>
      </c>
      <c r="N5" s="62">
        <v>9868</v>
      </c>
      <c r="O5" s="29">
        <v>0</v>
      </c>
      <c r="P5" s="95">
        <f t="shared" ref="P5:P27" si="1">N5+O5</f>
        <v>9868</v>
      </c>
      <c r="Q5" s="19"/>
      <c r="R5" s="53">
        <f t="shared" ref="R5:R27" si="2">P5+Q5</f>
        <v>9868</v>
      </c>
      <c r="S5" s="54">
        <f>R5/M5</f>
        <v>0.98494829720126165</v>
      </c>
      <c r="T5" s="55">
        <v>7668</v>
      </c>
      <c r="U5" s="34">
        <f>3276.9-787.5</f>
        <v>2489.4</v>
      </c>
      <c r="V5" s="33">
        <f t="shared" ref="V5:V24" si="3">U5/T5</f>
        <v>0.32464788732394367</v>
      </c>
      <c r="W5" s="34">
        <v>5045.3999999999996</v>
      </c>
      <c r="X5" s="33">
        <f t="shared" ref="X5:X24" si="4">W5/T5</f>
        <v>0.65798122065727693</v>
      </c>
      <c r="Y5" s="56">
        <v>7601.4</v>
      </c>
      <c r="Z5" s="33">
        <f t="shared" ref="Z5:Z34" si="5">Y5/T5</f>
        <v>0.9913145539906103</v>
      </c>
      <c r="AA5" s="55">
        <v>8000</v>
      </c>
      <c r="AB5" s="65">
        <v>3927.6</v>
      </c>
      <c r="AC5" s="40">
        <f>AB5/AA5</f>
        <v>0.49095</v>
      </c>
      <c r="AD5" s="59"/>
      <c r="AE5" s="19"/>
      <c r="AF5" s="62">
        <v>8042.4</v>
      </c>
      <c r="AG5" s="58">
        <f t="shared" ref="AG5:AG34" si="6">AF5/AA5</f>
        <v>1.0052999999999999</v>
      </c>
      <c r="AH5" s="42">
        <v>8500</v>
      </c>
      <c r="AI5" s="263">
        <v>2743.2</v>
      </c>
      <c r="AJ5" s="178">
        <f t="shared" ref="AJ5:AJ34" si="7">AI5/AH5</f>
        <v>0.32272941176470588</v>
      </c>
      <c r="AK5" s="62">
        <v>4800.6000000000004</v>
      </c>
      <c r="AL5" s="179">
        <f t="shared" ref="AL5:AL34" si="8">AK5/AH5</f>
        <v>0.56477647058823532</v>
      </c>
      <c r="AM5" s="56">
        <f>685.8*5</f>
        <v>3429</v>
      </c>
      <c r="AN5" s="56">
        <f>AM5+AK5</f>
        <v>8229.6</v>
      </c>
      <c r="AO5" s="179">
        <f t="shared" ref="AO5:AO34" si="9">AN5/AH5</f>
        <v>0.96818823529411768</v>
      </c>
      <c r="AP5" s="183"/>
      <c r="AQ5" s="264"/>
      <c r="AR5" s="56">
        <v>8229.6</v>
      </c>
      <c r="AS5" s="345">
        <v>8650</v>
      </c>
      <c r="AT5" s="357">
        <f>'[1]Current Account'!P156+'[1]Current Account'!R156</f>
        <v>11696.560000000001</v>
      </c>
      <c r="AU5" s="357">
        <v>5943.99</v>
      </c>
      <c r="AV5" s="347">
        <f t="shared" ref="AV5:AV34" si="10">AU5/AS5</f>
        <v>0.68716647398843933</v>
      </c>
      <c r="AW5" s="352">
        <v>8970.99</v>
      </c>
      <c r="AX5" s="353">
        <f t="shared" ref="AX5:AX34" si="11">AW5/AS5</f>
        <v>1.0371086705202313</v>
      </c>
      <c r="AY5" s="354">
        <v>9600</v>
      </c>
      <c r="AZ5" s="352">
        <f>'[1]Current Account'!P156+'[1]Current Account'!R156</f>
        <v>11696.560000000001</v>
      </c>
      <c r="BA5" s="353">
        <f>AZ5/AY5</f>
        <v>1.2183916666666668</v>
      </c>
      <c r="BB5" s="358" t="s">
        <v>202</v>
      </c>
      <c r="BC5" s="359">
        <v>12000</v>
      </c>
      <c r="BD5" s="360" t="s">
        <v>223</v>
      </c>
      <c r="BE5" s="425">
        <v>14418.46</v>
      </c>
      <c r="BF5" s="350">
        <f>BM5/BC5</f>
        <v>1.4227158333333334</v>
      </c>
      <c r="BG5" s="375">
        <v>13669.6</v>
      </c>
      <c r="BH5" s="434">
        <v>9679.06</v>
      </c>
      <c r="BI5" s="376">
        <f>(70*20.37*4)+540.62+479.71</f>
        <v>6723.93</v>
      </c>
      <c r="BJ5" s="472">
        <f t="shared" si="0"/>
        <v>16402.989999999998</v>
      </c>
      <c r="BK5" s="473">
        <f t="shared" ref="BK5:BK30" si="12">BJ5/BG5</f>
        <v>1.1999612278340257</v>
      </c>
      <c r="BL5" s="468" t="s">
        <v>289</v>
      </c>
      <c r="BM5" s="349">
        <f>'[2]Current Account'!Q172+'[2]Current Account'!S172</f>
        <v>17072.59</v>
      </c>
      <c r="BN5" s="438">
        <v>19140</v>
      </c>
      <c r="BO5" s="478">
        <v>19140</v>
      </c>
      <c r="BP5" s="989" t="s">
        <v>294</v>
      </c>
      <c r="BQ5" s="431"/>
      <c r="BS5" s="238"/>
      <c r="BT5" s="241"/>
      <c r="BU5" s="236"/>
      <c r="BV5" s="270"/>
      <c r="BW5" s="240"/>
      <c r="BY5" s="323" t="s">
        <v>239</v>
      </c>
      <c r="BZ5" s="573">
        <v>18178.66</v>
      </c>
      <c r="CA5" s="325">
        <v>30000</v>
      </c>
      <c r="CB5" s="326"/>
      <c r="CC5" s="464" t="s">
        <v>281</v>
      </c>
      <c r="CD5" s="311"/>
    </row>
    <row r="6" spans="1:82" ht="55.8" customHeight="1" x14ac:dyDescent="0.3">
      <c r="A6" s="526" t="s">
        <v>290</v>
      </c>
      <c r="B6" s="485"/>
      <c r="C6" s="486"/>
      <c r="D6" s="487"/>
      <c r="E6" s="488"/>
      <c r="F6" s="488"/>
      <c r="G6" s="487"/>
      <c r="H6" s="488"/>
      <c r="I6" s="485"/>
      <c r="J6" s="489"/>
      <c r="K6" s="490"/>
      <c r="L6" s="491"/>
      <c r="M6" s="492"/>
      <c r="N6" s="491"/>
      <c r="O6" s="493"/>
      <c r="P6" s="494"/>
      <c r="Q6" s="495"/>
      <c r="R6" s="496"/>
      <c r="S6" s="497"/>
      <c r="T6" s="498"/>
      <c r="U6" s="499"/>
      <c r="V6" s="500"/>
      <c r="W6" s="499"/>
      <c r="X6" s="500"/>
      <c r="Y6" s="501"/>
      <c r="Z6" s="500"/>
      <c r="AA6" s="498"/>
      <c r="AB6" s="527"/>
      <c r="AC6" s="503"/>
      <c r="AD6" s="504"/>
      <c r="AE6" s="495"/>
      <c r="AF6" s="491"/>
      <c r="AG6" s="503"/>
      <c r="AH6" s="528"/>
      <c r="AI6" s="529"/>
      <c r="AJ6" s="508"/>
      <c r="AK6" s="491"/>
      <c r="AL6" s="510"/>
      <c r="AM6" s="501"/>
      <c r="AN6" s="501"/>
      <c r="AO6" s="510"/>
      <c r="AP6" s="511"/>
      <c r="AQ6" s="530"/>
      <c r="AR6" s="501"/>
      <c r="AS6" s="531"/>
      <c r="AT6" s="532"/>
      <c r="AU6" s="532"/>
      <c r="AV6" s="515"/>
      <c r="AW6" s="516"/>
      <c r="AX6" s="517"/>
      <c r="AY6" s="518"/>
      <c r="AZ6" s="516"/>
      <c r="BA6" s="517"/>
      <c r="BB6" s="533"/>
      <c r="BC6" s="534"/>
      <c r="BD6" s="520"/>
      <c r="BE6" s="521"/>
      <c r="BF6" s="515"/>
      <c r="BG6" s="522">
        <v>2324.4</v>
      </c>
      <c r="BH6" s="523">
        <v>1549.6</v>
      </c>
      <c r="BI6" s="524">
        <f>(10*20.37*4)+80</f>
        <v>894.80000000000007</v>
      </c>
      <c r="BJ6" s="472">
        <f t="shared" si="0"/>
        <v>2444.4</v>
      </c>
      <c r="BK6" s="473">
        <f>BJ6/BG6</f>
        <v>1.0516262261228704</v>
      </c>
      <c r="BL6" s="468" t="s">
        <v>288</v>
      </c>
      <c r="BM6" s="521">
        <f>'[2]Current Account'!AM172</f>
        <v>2324.4</v>
      </c>
      <c r="BN6" s="525">
        <v>2640</v>
      </c>
      <c r="BO6" s="478"/>
      <c r="BP6" s="990"/>
      <c r="BQ6" s="431"/>
      <c r="BS6" s="238"/>
      <c r="BT6" s="241"/>
      <c r="BU6" s="236"/>
      <c r="BV6" s="270"/>
      <c r="BW6" s="240"/>
      <c r="BY6" s="323" t="s">
        <v>244</v>
      </c>
      <c r="BZ6" s="324">
        <v>10000</v>
      </c>
      <c r="CA6" s="325">
        <v>15000</v>
      </c>
      <c r="CB6" s="328"/>
      <c r="CC6" s="464" t="s">
        <v>282</v>
      </c>
      <c r="CD6" s="311"/>
    </row>
    <row r="7" spans="1:82" ht="30" customHeight="1" x14ac:dyDescent="0.3">
      <c r="A7" s="415" t="s">
        <v>127</v>
      </c>
      <c r="B7" s="61">
        <v>4560.72</v>
      </c>
      <c r="C7" s="265" t="s">
        <v>55</v>
      </c>
      <c r="D7" s="45">
        <v>4851</v>
      </c>
      <c r="E7" s="46" t="s">
        <v>55</v>
      </c>
      <c r="F7" s="46"/>
      <c r="G7" s="45" t="s">
        <v>55</v>
      </c>
      <c r="H7" s="46"/>
      <c r="I7" s="44"/>
      <c r="J7" s="47"/>
      <c r="K7" s="48"/>
      <c r="L7" s="62"/>
      <c r="M7" s="63"/>
      <c r="N7" s="62"/>
      <c r="O7" s="29">
        <v>0</v>
      </c>
      <c r="P7" s="95">
        <f t="shared" si="1"/>
        <v>0</v>
      </c>
      <c r="Q7" s="19"/>
      <c r="R7" s="53">
        <f t="shared" si="2"/>
        <v>0</v>
      </c>
      <c r="S7" s="54"/>
      <c r="T7" s="55"/>
      <c r="U7" s="34"/>
      <c r="V7" s="33"/>
      <c r="W7" s="34">
        <v>0</v>
      </c>
      <c r="X7" s="33"/>
      <c r="Y7" s="56"/>
      <c r="Z7" s="33"/>
      <c r="AA7" s="55"/>
      <c r="AB7" s="64"/>
      <c r="AC7" s="40"/>
      <c r="AD7" s="59"/>
      <c r="AE7" s="19"/>
      <c r="AF7" s="62"/>
      <c r="AG7" s="58"/>
      <c r="AH7" s="42"/>
      <c r="AI7" s="263">
        <v>448.5</v>
      </c>
      <c r="AJ7" s="178"/>
      <c r="AK7" s="62">
        <v>897</v>
      </c>
      <c r="AL7" s="179"/>
      <c r="AM7" s="56">
        <f>149.5*5</f>
        <v>747.5</v>
      </c>
      <c r="AN7" s="56">
        <f t="shared" ref="AN7:AN27" si="13">AM7+AK7</f>
        <v>1644.5</v>
      </c>
      <c r="AO7" s="179"/>
      <c r="AP7" s="183"/>
      <c r="AQ7" s="264"/>
      <c r="AR7" s="56">
        <v>1644.5</v>
      </c>
      <c r="AS7" s="345">
        <v>1850</v>
      </c>
      <c r="AT7" s="357">
        <f>'[1]Current Account'!Q156</f>
        <v>2591.5300000000002</v>
      </c>
      <c r="AU7" s="357">
        <v>1406.5</v>
      </c>
      <c r="AV7" s="347">
        <f t="shared" si="10"/>
        <v>0.76027027027027028</v>
      </c>
      <c r="AW7" s="352">
        <v>2018.54</v>
      </c>
      <c r="AX7" s="353">
        <f t="shared" si="11"/>
        <v>1.0911027027027027</v>
      </c>
      <c r="AY7" s="354">
        <v>2000</v>
      </c>
      <c r="AZ7" s="352">
        <f>'[1]Current Account'!Q156+'[1]Current Account'!T156</f>
        <v>2598.5300000000002</v>
      </c>
      <c r="BA7" s="353">
        <f t="shared" ref="BA7:BA34" si="14">AZ7/AY7</f>
        <v>1.2992650000000001</v>
      </c>
      <c r="BB7" s="358" t="s">
        <v>203</v>
      </c>
      <c r="BC7" s="359">
        <v>2436</v>
      </c>
      <c r="BD7" s="361" t="s">
        <v>217</v>
      </c>
      <c r="BE7" s="425">
        <v>3177.24</v>
      </c>
      <c r="BF7" s="350">
        <f>BM7/BC7</f>
        <v>1.5978243021346472</v>
      </c>
      <c r="BG7" s="375">
        <v>3647</v>
      </c>
      <c r="BH7" s="434">
        <v>2209.66</v>
      </c>
      <c r="BI7" s="376">
        <f>BI5/100*22.3</f>
        <v>1499.4363900000001</v>
      </c>
      <c r="BJ7" s="472">
        <f t="shared" si="0"/>
        <v>3709.0963899999997</v>
      </c>
      <c r="BK7" s="473">
        <f t="shared" si="12"/>
        <v>1.0170267041403893</v>
      </c>
      <c r="BM7" s="349">
        <f>'[2]Current Account'!R172</f>
        <v>3892.3000000000006</v>
      </c>
      <c r="BN7" s="438">
        <f>21780/100*22.3</f>
        <v>4856.9400000000005</v>
      </c>
      <c r="BO7" s="478">
        <v>4856.9399999999996</v>
      </c>
      <c r="BP7" s="159" t="s">
        <v>295</v>
      </c>
      <c r="BS7" s="238"/>
      <c r="BT7" s="241"/>
      <c r="BU7" s="236"/>
      <c r="BV7" s="270"/>
      <c r="BW7" s="240"/>
      <c r="BY7" s="323"/>
      <c r="BZ7" s="324"/>
      <c r="CA7" s="325"/>
      <c r="CB7" s="328"/>
      <c r="CC7" s="464"/>
    </row>
    <row r="8" spans="1:82" ht="30" customHeight="1" x14ac:dyDescent="0.3">
      <c r="A8" s="415" t="s">
        <v>56</v>
      </c>
      <c r="B8" s="61">
        <v>900</v>
      </c>
      <c r="C8" s="265">
        <v>1026.49</v>
      </c>
      <c r="D8" s="45">
        <v>700</v>
      </c>
      <c r="E8" s="46">
        <v>440</v>
      </c>
      <c r="F8" s="46">
        <v>1073.26</v>
      </c>
      <c r="G8" s="45">
        <v>150</v>
      </c>
      <c r="H8" s="46">
        <v>48.7</v>
      </c>
      <c r="I8" s="44">
        <v>150</v>
      </c>
      <c r="J8" s="47">
        <v>35</v>
      </c>
      <c r="K8" s="48">
        <v>150</v>
      </c>
      <c r="L8" s="62">
        <v>636.77</v>
      </c>
      <c r="M8" s="63">
        <v>400</v>
      </c>
      <c r="N8" s="62">
        <v>603.80999999999995</v>
      </c>
      <c r="O8" s="29">
        <v>0</v>
      </c>
      <c r="P8" s="95">
        <f t="shared" si="1"/>
        <v>603.80999999999995</v>
      </c>
      <c r="Q8" s="19"/>
      <c r="R8" s="53">
        <f t="shared" si="2"/>
        <v>603.80999999999995</v>
      </c>
      <c r="S8" s="54">
        <f t="shared" ref="S8:S15" si="15">R8/M8</f>
        <v>1.5095249999999998</v>
      </c>
      <c r="T8" s="55">
        <v>650</v>
      </c>
      <c r="U8" s="34">
        <v>101.85</v>
      </c>
      <c r="V8" s="33">
        <f t="shared" si="3"/>
        <v>0.15669230769230769</v>
      </c>
      <c r="W8" s="34">
        <v>330.82</v>
      </c>
      <c r="X8" s="33">
        <f t="shared" si="4"/>
        <v>0.50895384615384609</v>
      </c>
      <c r="Y8" s="56">
        <v>527.24</v>
      </c>
      <c r="Z8" s="33">
        <f t="shared" si="5"/>
        <v>0.81113846153846159</v>
      </c>
      <c r="AA8" s="55">
        <v>700</v>
      </c>
      <c r="AB8" s="65">
        <v>348.73</v>
      </c>
      <c r="AC8" s="40">
        <f t="shared" ref="AC8:AC15" si="16">AB8/AA8</f>
        <v>0.49818571428571429</v>
      </c>
      <c r="AD8" s="59"/>
      <c r="AE8" s="19"/>
      <c r="AF8" s="62">
        <v>561.14</v>
      </c>
      <c r="AG8" s="58">
        <f t="shared" si="6"/>
        <v>0.80162857142857136</v>
      </c>
      <c r="AH8" s="42">
        <v>1000</v>
      </c>
      <c r="AI8" s="263">
        <v>283.55</v>
      </c>
      <c r="AJ8" s="178">
        <f t="shared" si="7"/>
        <v>0.28355000000000002</v>
      </c>
      <c r="AK8" s="62">
        <f>290.83+447.62</f>
        <v>738.45</v>
      </c>
      <c r="AL8" s="179">
        <f t="shared" si="8"/>
        <v>0.73845000000000005</v>
      </c>
      <c r="AM8" s="56">
        <v>260</v>
      </c>
      <c r="AN8" s="56">
        <f t="shared" si="13"/>
        <v>998.45</v>
      </c>
      <c r="AO8" s="179">
        <f t="shared" si="9"/>
        <v>0.99845000000000006</v>
      </c>
      <c r="AP8" s="183"/>
      <c r="AQ8" s="264" t="s">
        <v>57</v>
      </c>
      <c r="AR8" s="56">
        <f>760.23+290.83</f>
        <v>1051.06</v>
      </c>
      <c r="AS8" s="345">
        <v>1000</v>
      </c>
      <c r="AT8" s="357">
        <f>'[1]Current Account'!U156</f>
        <v>672.96</v>
      </c>
      <c r="AU8" s="357">
        <v>446.85</v>
      </c>
      <c r="AV8" s="347">
        <f t="shared" si="10"/>
        <v>0.44685000000000002</v>
      </c>
      <c r="AW8" s="352">
        <v>1165.27</v>
      </c>
      <c r="AX8" s="353">
        <f t="shared" si="11"/>
        <v>1.16527</v>
      </c>
      <c r="AY8" s="354">
        <v>800</v>
      </c>
      <c r="AZ8" s="352">
        <f>'[1]Current Account'!U156+'[1]Current Account'!S156</f>
        <v>719.95</v>
      </c>
      <c r="BA8" s="353">
        <f t="shared" si="14"/>
        <v>0.89993750000000006</v>
      </c>
      <c r="BB8" s="362" t="s">
        <v>222</v>
      </c>
      <c r="BC8" s="354">
        <v>1000</v>
      </c>
      <c r="BD8" s="356" t="s">
        <v>224</v>
      </c>
      <c r="BE8" s="425">
        <v>650.88</v>
      </c>
      <c r="BF8" s="350">
        <f>BM8/BC8</f>
        <v>0.63065999999999989</v>
      </c>
      <c r="BG8" s="375">
        <v>1000</v>
      </c>
      <c r="BH8" s="434">
        <v>446.41</v>
      </c>
      <c r="BI8" s="376">
        <f>BH8/8*4</f>
        <v>223.20500000000001</v>
      </c>
      <c r="BJ8" s="472">
        <f t="shared" si="0"/>
        <v>669.61500000000001</v>
      </c>
      <c r="BK8" s="473">
        <f t="shared" si="12"/>
        <v>0.66961499999999996</v>
      </c>
      <c r="BM8" s="349">
        <f>'[2]Current Account'!U172+'[2]Current Account'!T172</f>
        <v>630.65999999999985</v>
      </c>
      <c r="BN8" s="438">
        <v>1000</v>
      </c>
      <c r="BO8" s="478">
        <v>1000</v>
      </c>
      <c r="BS8" s="235" t="s">
        <v>192</v>
      </c>
      <c r="BT8" s="236">
        <v>6848.07</v>
      </c>
      <c r="BU8" s="236"/>
      <c r="BV8" s="236"/>
      <c r="BW8" s="237"/>
      <c r="BY8" s="323"/>
      <c r="BZ8" s="324"/>
      <c r="CA8" s="325"/>
      <c r="CB8" s="328"/>
      <c r="CC8" s="464"/>
    </row>
    <row r="9" spans="1:82" ht="47.4" customHeight="1" x14ac:dyDescent="0.3">
      <c r="A9" s="415" t="s">
        <v>234</v>
      </c>
      <c r="B9" s="61"/>
      <c r="C9" s="265"/>
      <c r="D9" s="45"/>
      <c r="E9" s="46"/>
      <c r="F9" s="46"/>
      <c r="G9" s="45"/>
      <c r="H9" s="46"/>
      <c r="I9" s="44"/>
      <c r="J9" s="47"/>
      <c r="K9" s="48"/>
      <c r="L9" s="62"/>
      <c r="M9" s="63"/>
      <c r="N9" s="62"/>
      <c r="O9" s="29"/>
      <c r="P9" s="95"/>
      <c r="Q9" s="19"/>
      <c r="R9" s="53"/>
      <c r="S9" s="54"/>
      <c r="T9" s="55"/>
      <c r="U9" s="34"/>
      <c r="V9" s="33"/>
      <c r="W9" s="34"/>
      <c r="X9" s="33"/>
      <c r="Y9" s="56"/>
      <c r="Z9" s="33"/>
      <c r="AA9" s="55"/>
      <c r="AB9" s="65"/>
      <c r="AC9" s="40"/>
      <c r="AD9" s="59"/>
      <c r="AE9" s="19"/>
      <c r="AF9" s="62"/>
      <c r="AG9" s="58"/>
      <c r="AH9" s="42"/>
      <c r="AI9" s="263"/>
      <c r="AJ9" s="178"/>
      <c r="AK9" s="62"/>
      <c r="AL9" s="179"/>
      <c r="AM9" s="56"/>
      <c r="AN9" s="56"/>
      <c r="AO9" s="179"/>
      <c r="AP9" s="183"/>
      <c r="AQ9" s="264"/>
      <c r="AR9" s="56"/>
      <c r="AS9" s="345"/>
      <c r="AT9" s="357"/>
      <c r="AU9" s="357"/>
      <c r="AV9" s="347"/>
      <c r="AW9" s="352"/>
      <c r="AX9" s="353"/>
      <c r="AY9" s="354"/>
      <c r="AZ9" s="352"/>
      <c r="BA9" s="353"/>
      <c r="BB9" s="362"/>
      <c r="BC9" s="354"/>
      <c r="BD9" s="356"/>
      <c r="BE9" s="425">
        <v>3665.47</v>
      </c>
      <c r="BF9" s="350"/>
      <c r="BG9" s="375">
        <v>0</v>
      </c>
      <c r="BH9" s="434"/>
      <c r="BI9" s="376"/>
      <c r="BJ9" s="472">
        <f t="shared" si="0"/>
        <v>0</v>
      </c>
      <c r="BK9" s="473"/>
      <c r="BM9" s="349"/>
      <c r="BN9" s="438"/>
      <c r="BO9" s="478"/>
      <c r="BS9" s="235"/>
      <c r="BT9" s="236"/>
      <c r="BU9" s="236"/>
      <c r="BV9" s="236"/>
      <c r="BW9" s="237"/>
      <c r="BY9" s="323" t="s">
        <v>299</v>
      </c>
      <c r="BZ9" s="324">
        <v>4000</v>
      </c>
      <c r="CA9" s="325">
        <v>4000</v>
      </c>
      <c r="CB9" s="328"/>
      <c r="CC9" s="463"/>
    </row>
    <row r="10" spans="1:82" ht="30" customHeight="1" x14ac:dyDescent="0.3">
      <c r="A10" s="415" t="s">
        <v>59</v>
      </c>
      <c r="B10" s="61"/>
      <c r="C10" s="265"/>
      <c r="D10" s="45"/>
      <c r="E10" s="46"/>
      <c r="F10" s="46"/>
      <c r="G10" s="45">
        <v>500</v>
      </c>
      <c r="H10" s="46">
        <v>350</v>
      </c>
      <c r="I10" s="44">
        <v>500</v>
      </c>
      <c r="J10" s="47">
        <v>350</v>
      </c>
      <c r="K10" s="48">
        <v>500</v>
      </c>
      <c r="L10" s="62">
        <v>360</v>
      </c>
      <c r="M10" s="63">
        <v>370</v>
      </c>
      <c r="N10" s="62">
        <v>370</v>
      </c>
      <c r="O10" s="29">
        <v>-160</v>
      </c>
      <c r="P10" s="95">
        <f t="shared" si="1"/>
        <v>210</v>
      </c>
      <c r="Q10" s="19">
        <v>370</v>
      </c>
      <c r="R10" s="53">
        <f t="shared" si="2"/>
        <v>580</v>
      </c>
      <c r="S10" s="54">
        <f t="shared" si="15"/>
        <v>1.5675675675675675</v>
      </c>
      <c r="T10" s="55">
        <v>370</v>
      </c>
      <c r="U10" s="34">
        <v>170</v>
      </c>
      <c r="V10" s="33">
        <f t="shared" si="3"/>
        <v>0.45945945945945948</v>
      </c>
      <c r="W10" s="34">
        <v>170</v>
      </c>
      <c r="X10" s="33">
        <f t="shared" si="4"/>
        <v>0.45945945945945948</v>
      </c>
      <c r="Y10" s="56">
        <v>370</v>
      </c>
      <c r="Z10" s="33">
        <f t="shared" si="5"/>
        <v>1</v>
      </c>
      <c r="AA10" s="55">
        <v>400</v>
      </c>
      <c r="AB10" s="66">
        <v>175</v>
      </c>
      <c r="AC10" s="40">
        <f t="shared" si="16"/>
        <v>0.4375</v>
      </c>
      <c r="AD10" s="59"/>
      <c r="AE10" s="67" t="s">
        <v>60</v>
      </c>
      <c r="AF10" s="62">
        <v>475</v>
      </c>
      <c r="AG10" s="58">
        <f t="shared" si="6"/>
        <v>1.1875</v>
      </c>
      <c r="AH10" s="68">
        <v>500</v>
      </c>
      <c r="AI10" s="271">
        <v>180</v>
      </c>
      <c r="AJ10" s="178">
        <f t="shared" si="7"/>
        <v>0.36</v>
      </c>
      <c r="AK10" s="272">
        <v>180</v>
      </c>
      <c r="AL10" s="179">
        <f t="shared" si="8"/>
        <v>0.36</v>
      </c>
      <c r="AM10" s="56">
        <v>300</v>
      </c>
      <c r="AN10" s="56">
        <f t="shared" si="13"/>
        <v>480</v>
      </c>
      <c r="AO10" s="179">
        <f t="shared" si="9"/>
        <v>0.96</v>
      </c>
      <c r="AP10" s="183" t="s">
        <v>150</v>
      </c>
      <c r="AQ10" s="273"/>
      <c r="AR10" s="56">
        <v>480</v>
      </c>
      <c r="AS10" s="363">
        <v>500</v>
      </c>
      <c r="AT10" s="364">
        <f>'[1]Current Account'!W156</f>
        <v>460</v>
      </c>
      <c r="AU10" s="364">
        <v>480</v>
      </c>
      <c r="AV10" s="347">
        <f t="shared" si="10"/>
        <v>0.96</v>
      </c>
      <c r="AW10" s="352">
        <v>480</v>
      </c>
      <c r="AX10" s="353">
        <f t="shared" si="11"/>
        <v>0.96</v>
      </c>
      <c r="AY10" s="354">
        <v>480</v>
      </c>
      <c r="AZ10" s="352">
        <f>'[1]Current Account'!W156</f>
        <v>460</v>
      </c>
      <c r="BA10" s="353">
        <f t="shared" si="14"/>
        <v>0.95833333333333337</v>
      </c>
      <c r="BB10" s="358" t="s">
        <v>204</v>
      </c>
      <c r="BC10" s="359">
        <v>480</v>
      </c>
      <c r="BD10" s="360"/>
      <c r="BE10" s="425">
        <v>1775</v>
      </c>
      <c r="BF10" s="350">
        <f t="shared" ref="BF10:BF15" si="17">BM10/BC10</f>
        <v>1.2604166666666667</v>
      </c>
      <c r="BG10" s="375">
        <v>900</v>
      </c>
      <c r="BH10" s="434">
        <v>1300</v>
      </c>
      <c r="BI10" s="376">
        <v>0</v>
      </c>
      <c r="BJ10" s="472">
        <f t="shared" si="0"/>
        <v>1300</v>
      </c>
      <c r="BK10" s="473">
        <f t="shared" si="12"/>
        <v>1.4444444444444444</v>
      </c>
      <c r="BM10" s="349">
        <f>'[2]Current Account'!Z172</f>
        <v>605</v>
      </c>
      <c r="BN10" s="438">
        <v>700</v>
      </c>
      <c r="BO10" s="478">
        <v>700</v>
      </c>
      <c r="BP10" s="431" t="s">
        <v>265</v>
      </c>
      <c r="BQ10" s="431"/>
      <c r="BS10" s="238" t="s">
        <v>215</v>
      </c>
      <c r="BT10" s="239">
        <v>3151.93</v>
      </c>
      <c r="BU10" s="236">
        <f>SUM(BT8:BT10)</f>
        <v>10000</v>
      </c>
      <c r="BV10" s="274"/>
      <c r="BW10" s="240"/>
      <c r="BY10" s="323" t="s">
        <v>247</v>
      </c>
      <c r="BZ10" s="324">
        <v>4000</v>
      </c>
      <c r="CA10" s="325">
        <v>4000</v>
      </c>
      <c r="CB10" s="326"/>
      <c r="CC10" s="463"/>
    </row>
    <row r="11" spans="1:82" ht="30" customHeight="1" x14ac:dyDescent="0.3">
      <c r="A11" s="415" t="s">
        <v>61</v>
      </c>
      <c r="B11" s="61">
        <v>180</v>
      </c>
      <c r="C11" s="265">
        <v>165</v>
      </c>
      <c r="D11" s="45">
        <v>180</v>
      </c>
      <c r="E11" s="46">
        <v>150</v>
      </c>
      <c r="F11" s="46">
        <v>210</v>
      </c>
      <c r="G11" s="45">
        <v>200</v>
      </c>
      <c r="H11" s="46">
        <v>160</v>
      </c>
      <c r="I11" s="44">
        <v>200</v>
      </c>
      <c r="J11" s="47">
        <v>215</v>
      </c>
      <c r="K11" s="48">
        <v>350</v>
      </c>
      <c r="L11" s="62">
        <v>245</v>
      </c>
      <c r="M11" s="63">
        <v>275</v>
      </c>
      <c r="N11" s="62">
        <v>150</v>
      </c>
      <c r="O11" s="29">
        <v>0</v>
      </c>
      <c r="P11" s="95">
        <f t="shared" si="1"/>
        <v>150</v>
      </c>
      <c r="Q11" s="19"/>
      <c r="R11" s="53">
        <f t="shared" si="2"/>
        <v>150</v>
      </c>
      <c r="S11" s="54">
        <f t="shared" si="15"/>
        <v>0.54545454545454541</v>
      </c>
      <c r="T11" s="55">
        <v>240</v>
      </c>
      <c r="U11" s="34">
        <v>75</v>
      </c>
      <c r="V11" s="33">
        <f t="shared" si="3"/>
        <v>0.3125</v>
      </c>
      <c r="W11" s="34">
        <v>135</v>
      </c>
      <c r="X11" s="33">
        <f t="shared" si="4"/>
        <v>0.5625</v>
      </c>
      <c r="Y11" s="56">
        <v>180</v>
      </c>
      <c r="Z11" s="33">
        <f t="shared" si="5"/>
        <v>0.75</v>
      </c>
      <c r="AA11" s="55">
        <v>200</v>
      </c>
      <c r="AB11" s="65">
        <v>90</v>
      </c>
      <c r="AC11" s="40">
        <f t="shared" si="16"/>
        <v>0.45</v>
      </c>
      <c r="AD11" s="59"/>
      <c r="AE11" s="19"/>
      <c r="AF11" s="62">
        <v>180</v>
      </c>
      <c r="AG11" s="58">
        <f t="shared" si="6"/>
        <v>0.9</v>
      </c>
      <c r="AH11" s="42">
        <v>200</v>
      </c>
      <c r="AI11" s="263">
        <v>45</v>
      </c>
      <c r="AJ11" s="178">
        <f t="shared" si="7"/>
        <v>0.22500000000000001</v>
      </c>
      <c r="AK11" s="62">
        <v>105</v>
      </c>
      <c r="AL11" s="179">
        <f t="shared" si="8"/>
        <v>0.52500000000000002</v>
      </c>
      <c r="AM11" s="56">
        <f>15*5</f>
        <v>75</v>
      </c>
      <c r="AN11" s="56">
        <f t="shared" si="13"/>
        <v>180</v>
      </c>
      <c r="AO11" s="179">
        <f t="shared" si="9"/>
        <v>0.9</v>
      </c>
      <c r="AP11" s="183"/>
      <c r="AQ11" s="264"/>
      <c r="AR11" s="56">
        <v>180</v>
      </c>
      <c r="AS11" s="345">
        <v>250</v>
      </c>
      <c r="AT11" s="357">
        <f>'[1]Current Account'!AA156</f>
        <v>70</v>
      </c>
      <c r="AU11" s="357">
        <v>0</v>
      </c>
      <c r="AV11" s="347">
        <f t="shared" si="10"/>
        <v>0</v>
      </c>
      <c r="AW11" s="352">
        <v>0</v>
      </c>
      <c r="AX11" s="353">
        <f t="shared" si="11"/>
        <v>0</v>
      </c>
      <c r="AY11" s="354">
        <v>360</v>
      </c>
      <c r="AZ11" s="352">
        <f>'[1]Current Account'!AA156</f>
        <v>70</v>
      </c>
      <c r="BA11" s="353">
        <f t="shared" si="14"/>
        <v>0.19444444444444445</v>
      </c>
      <c r="BB11" s="358" t="s">
        <v>205</v>
      </c>
      <c r="BC11" s="359">
        <v>360</v>
      </c>
      <c r="BD11" s="360"/>
      <c r="BE11" s="425">
        <v>150</v>
      </c>
      <c r="BF11" s="350">
        <f t="shared" si="17"/>
        <v>0.625</v>
      </c>
      <c r="BG11" s="375">
        <v>180</v>
      </c>
      <c r="BH11" s="434">
        <v>0</v>
      </c>
      <c r="BI11" s="376">
        <v>180</v>
      </c>
      <c r="BJ11" s="472">
        <f t="shared" si="0"/>
        <v>180</v>
      </c>
      <c r="BK11" s="473">
        <f t="shared" si="12"/>
        <v>1</v>
      </c>
      <c r="BM11" s="349">
        <f>'[2]Current Account'!AD172</f>
        <v>225</v>
      </c>
      <c r="BN11" s="438">
        <v>180</v>
      </c>
      <c r="BO11" s="478">
        <v>180</v>
      </c>
      <c r="BP11" s="159" t="s">
        <v>266</v>
      </c>
      <c r="BS11" s="238"/>
      <c r="BT11" s="241"/>
      <c r="BU11" s="275"/>
      <c r="BV11" s="275"/>
      <c r="BW11" s="240"/>
      <c r="BY11" s="323" t="s">
        <v>249</v>
      </c>
      <c r="BZ11" s="324">
        <v>15000</v>
      </c>
      <c r="CA11" s="325">
        <v>15000</v>
      </c>
      <c r="CB11" s="326"/>
      <c r="CC11" s="463" t="s">
        <v>283</v>
      </c>
    </row>
    <row r="12" spans="1:82" ht="30" customHeight="1" x14ac:dyDescent="0.3">
      <c r="A12" s="415" t="s">
        <v>62</v>
      </c>
      <c r="B12" s="61">
        <v>0</v>
      </c>
      <c r="C12" s="265">
        <v>0</v>
      </c>
      <c r="D12" s="45">
        <v>0</v>
      </c>
      <c r="E12" s="46">
        <v>0</v>
      </c>
      <c r="F12" s="46"/>
      <c r="G12" s="45">
        <v>50</v>
      </c>
      <c r="H12" s="46">
        <v>0</v>
      </c>
      <c r="I12" s="44">
        <v>40</v>
      </c>
      <c r="J12" s="47">
        <v>0</v>
      </c>
      <c r="K12" s="48">
        <v>50</v>
      </c>
      <c r="L12" s="62">
        <v>0</v>
      </c>
      <c r="M12" s="63">
        <v>100</v>
      </c>
      <c r="N12" s="62">
        <v>0</v>
      </c>
      <c r="O12" s="29">
        <v>0</v>
      </c>
      <c r="P12" s="95">
        <f t="shared" si="1"/>
        <v>0</v>
      </c>
      <c r="Q12" s="19"/>
      <c r="R12" s="53">
        <f t="shared" si="2"/>
        <v>0</v>
      </c>
      <c r="S12" s="54">
        <f t="shared" si="15"/>
        <v>0</v>
      </c>
      <c r="T12" s="55">
        <v>0</v>
      </c>
      <c r="U12" s="34"/>
      <c r="V12" s="33"/>
      <c r="W12" s="34">
        <v>0</v>
      </c>
      <c r="X12" s="33"/>
      <c r="Y12" s="56"/>
      <c r="Z12" s="33"/>
      <c r="AA12" s="55">
        <v>100</v>
      </c>
      <c r="AB12" s="65">
        <v>0</v>
      </c>
      <c r="AC12" s="40">
        <f t="shared" si="16"/>
        <v>0</v>
      </c>
      <c r="AD12" s="59"/>
      <c r="AE12" s="19"/>
      <c r="AF12" s="62"/>
      <c r="AG12" s="58"/>
      <c r="AH12" s="42">
        <v>100</v>
      </c>
      <c r="AI12" s="263"/>
      <c r="AJ12" s="178">
        <f t="shared" si="7"/>
        <v>0</v>
      </c>
      <c r="AK12" s="62"/>
      <c r="AL12" s="179">
        <f t="shared" si="8"/>
        <v>0</v>
      </c>
      <c r="AM12" s="56">
        <v>0</v>
      </c>
      <c r="AN12" s="56">
        <f t="shared" si="13"/>
        <v>0</v>
      </c>
      <c r="AO12" s="179">
        <f t="shared" si="9"/>
        <v>0</v>
      </c>
      <c r="AP12" s="183"/>
      <c r="AQ12" s="264"/>
      <c r="AR12" s="56">
        <v>0</v>
      </c>
      <c r="AS12" s="345">
        <v>100</v>
      </c>
      <c r="AT12" s="357">
        <v>0</v>
      </c>
      <c r="AU12" s="357">
        <v>0</v>
      </c>
      <c r="AV12" s="347">
        <f t="shared" si="10"/>
        <v>0</v>
      </c>
      <c r="AW12" s="352">
        <v>0</v>
      </c>
      <c r="AX12" s="353">
        <f t="shared" si="11"/>
        <v>0</v>
      </c>
      <c r="AY12" s="354">
        <v>100</v>
      </c>
      <c r="AZ12" s="352"/>
      <c r="BA12" s="353">
        <f t="shared" si="14"/>
        <v>0</v>
      </c>
      <c r="BB12" s="355"/>
      <c r="BC12" s="354">
        <v>100</v>
      </c>
      <c r="BD12" s="356"/>
      <c r="BE12" s="425"/>
      <c r="BF12" s="350">
        <f t="shared" si="17"/>
        <v>0.28800000000000003</v>
      </c>
      <c r="BG12" s="375">
        <v>100</v>
      </c>
      <c r="BH12" s="434">
        <v>28.8</v>
      </c>
      <c r="BI12" s="376">
        <f>BG12-BH12</f>
        <v>71.2</v>
      </c>
      <c r="BJ12" s="472">
        <f t="shared" si="0"/>
        <v>100</v>
      </c>
      <c r="BK12" s="473">
        <f t="shared" si="12"/>
        <v>1</v>
      </c>
      <c r="BM12" s="349">
        <f>'[2]Current Account'!P172</f>
        <v>28.8</v>
      </c>
      <c r="BN12" s="438">
        <v>200</v>
      </c>
      <c r="BO12" s="478">
        <v>200</v>
      </c>
      <c r="BS12" s="238"/>
      <c r="BT12" s="241"/>
      <c r="BU12" s="275"/>
      <c r="BV12" s="230"/>
      <c r="BW12" s="240"/>
      <c r="BY12" s="323" t="s">
        <v>250</v>
      </c>
      <c r="BZ12" s="324">
        <v>12000</v>
      </c>
      <c r="CA12" s="329">
        <v>10000</v>
      </c>
      <c r="CB12" s="326"/>
      <c r="CC12" s="463" t="s">
        <v>284</v>
      </c>
    </row>
    <row r="13" spans="1:82" ht="30" customHeight="1" x14ac:dyDescent="0.3">
      <c r="A13" s="415" t="s">
        <v>63</v>
      </c>
      <c r="B13" s="61">
        <v>0</v>
      </c>
      <c r="C13" s="265">
        <v>0</v>
      </c>
      <c r="D13" s="45">
        <v>0</v>
      </c>
      <c r="E13" s="46">
        <v>0</v>
      </c>
      <c r="F13" s="46">
        <v>75</v>
      </c>
      <c r="G13" s="45">
        <v>100</v>
      </c>
      <c r="H13" s="46">
        <v>11.27</v>
      </c>
      <c r="I13" s="44">
        <v>100</v>
      </c>
      <c r="J13" s="47">
        <v>40</v>
      </c>
      <c r="K13" s="48">
        <v>100</v>
      </c>
      <c r="L13" s="62">
        <v>135</v>
      </c>
      <c r="M13" s="63">
        <v>200</v>
      </c>
      <c r="N13" s="62">
        <v>47.5</v>
      </c>
      <c r="O13" s="29">
        <v>0</v>
      </c>
      <c r="P13" s="95">
        <f t="shared" si="1"/>
        <v>47.5</v>
      </c>
      <c r="Q13" s="19"/>
      <c r="R13" s="53">
        <f t="shared" si="2"/>
        <v>47.5</v>
      </c>
      <c r="S13" s="54">
        <f t="shared" si="15"/>
        <v>0.23749999999999999</v>
      </c>
      <c r="T13" s="55">
        <v>200</v>
      </c>
      <c r="U13" s="34"/>
      <c r="V13" s="33">
        <f t="shared" si="3"/>
        <v>0</v>
      </c>
      <c r="W13" s="34">
        <v>0</v>
      </c>
      <c r="X13" s="33"/>
      <c r="Y13" s="56">
        <v>60</v>
      </c>
      <c r="Z13" s="33">
        <f t="shared" si="5"/>
        <v>0.3</v>
      </c>
      <c r="AA13" s="55">
        <v>200</v>
      </c>
      <c r="AB13" s="65">
        <v>162.5</v>
      </c>
      <c r="AC13" s="40">
        <f t="shared" si="16"/>
        <v>0.8125</v>
      </c>
      <c r="AD13" s="59"/>
      <c r="AE13" s="19"/>
      <c r="AF13" s="62">
        <v>337.5</v>
      </c>
      <c r="AG13" s="58">
        <f t="shared" si="6"/>
        <v>1.6875</v>
      </c>
      <c r="AH13" s="42">
        <v>250</v>
      </c>
      <c r="AI13" s="263"/>
      <c r="AJ13" s="178">
        <f t="shared" si="7"/>
        <v>0</v>
      </c>
      <c r="AK13" s="62">
        <v>162.5</v>
      </c>
      <c r="AL13" s="179">
        <f t="shared" si="8"/>
        <v>0.65</v>
      </c>
      <c r="AM13" s="56">
        <v>37.5</v>
      </c>
      <c r="AN13" s="56">
        <f t="shared" si="13"/>
        <v>200</v>
      </c>
      <c r="AO13" s="179">
        <f t="shared" si="9"/>
        <v>0.8</v>
      </c>
      <c r="AP13" s="183"/>
      <c r="AQ13" s="264"/>
      <c r="AR13" s="56">
        <v>162.5</v>
      </c>
      <c r="AS13" s="345">
        <v>250</v>
      </c>
      <c r="AT13" s="357">
        <f>'[1]Current Account'!X156</f>
        <v>30</v>
      </c>
      <c r="AU13" s="357">
        <v>30</v>
      </c>
      <c r="AV13" s="347">
        <f t="shared" si="10"/>
        <v>0.12</v>
      </c>
      <c r="AW13" s="352">
        <v>30</v>
      </c>
      <c r="AX13" s="353">
        <f t="shared" si="11"/>
        <v>0.12</v>
      </c>
      <c r="AY13" s="354">
        <v>250</v>
      </c>
      <c r="AZ13" s="352">
        <f>'[1]Current Account'!X156</f>
        <v>30</v>
      </c>
      <c r="BA13" s="353">
        <f t="shared" si="14"/>
        <v>0.12</v>
      </c>
      <c r="BB13" s="355"/>
      <c r="BC13" s="354">
        <v>250</v>
      </c>
      <c r="BD13" s="356"/>
      <c r="BE13" s="425">
        <v>0</v>
      </c>
      <c r="BF13" s="350">
        <f t="shared" si="17"/>
        <v>1.38</v>
      </c>
      <c r="BG13" s="375">
        <v>500</v>
      </c>
      <c r="BH13" s="434">
        <v>345</v>
      </c>
      <c r="BI13" s="376">
        <f>BG13-BH13</f>
        <v>155</v>
      </c>
      <c r="BJ13" s="472">
        <f t="shared" si="0"/>
        <v>500</v>
      </c>
      <c r="BK13" s="473">
        <f t="shared" si="12"/>
        <v>1</v>
      </c>
      <c r="BM13" s="349">
        <f>'[2]Current Account'!AA172</f>
        <v>345</v>
      </c>
      <c r="BN13" s="438">
        <v>750</v>
      </c>
      <c r="BO13" s="478">
        <v>750</v>
      </c>
      <c r="BS13" s="238"/>
      <c r="BT13" s="241"/>
      <c r="BU13" s="275"/>
      <c r="BV13" s="230"/>
      <c r="BW13" s="240"/>
      <c r="BY13" s="323"/>
      <c r="BZ13" s="324"/>
      <c r="CA13" s="325"/>
      <c r="CB13" s="326"/>
      <c r="CC13" s="463"/>
    </row>
    <row r="14" spans="1:82" ht="30" customHeight="1" x14ac:dyDescent="0.3">
      <c r="A14" s="415" t="s">
        <v>64</v>
      </c>
      <c r="B14" s="61">
        <v>700</v>
      </c>
      <c r="C14" s="265">
        <v>519.02</v>
      </c>
      <c r="D14" s="45">
        <v>800</v>
      </c>
      <c r="E14" s="46">
        <v>560.71</v>
      </c>
      <c r="F14" s="46">
        <v>562.76</v>
      </c>
      <c r="G14" s="45">
        <v>650</v>
      </c>
      <c r="H14" s="46">
        <v>530.24</v>
      </c>
      <c r="I14" s="44">
        <v>600</v>
      </c>
      <c r="J14" s="47">
        <v>519.15</v>
      </c>
      <c r="K14" s="48">
        <v>600</v>
      </c>
      <c r="L14" s="62">
        <v>482.81</v>
      </c>
      <c r="M14" s="63">
        <v>400</v>
      </c>
      <c r="N14" s="62">
        <v>371.88</v>
      </c>
      <c r="O14" s="29">
        <v>0</v>
      </c>
      <c r="P14" s="95">
        <f t="shared" si="1"/>
        <v>371.88</v>
      </c>
      <c r="Q14" s="19"/>
      <c r="R14" s="53">
        <f t="shared" si="2"/>
        <v>371.88</v>
      </c>
      <c r="S14" s="54">
        <f t="shared" si="15"/>
        <v>0.92969999999999997</v>
      </c>
      <c r="T14" s="55">
        <v>400</v>
      </c>
      <c r="U14" s="34">
        <v>380.37</v>
      </c>
      <c r="V14" s="33">
        <f t="shared" si="3"/>
        <v>0.95092500000000002</v>
      </c>
      <c r="W14" s="34">
        <v>380.37</v>
      </c>
      <c r="X14" s="33">
        <f t="shared" si="4"/>
        <v>0.95092500000000002</v>
      </c>
      <c r="Y14" s="56">
        <v>380.37</v>
      </c>
      <c r="Z14" s="33">
        <f t="shared" si="5"/>
        <v>0.95092500000000002</v>
      </c>
      <c r="AA14" s="55">
        <v>400</v>
      </c>
      <c r="AB14" s="65">
        <v>342.34</v>
      </c>
      <c r="AC14" s="40">
        <f t="shared" si="16"/>
        <v>0.85584999999999989</v>
      </c>
      <c r="AD14" s="59"/>
      <c r="AE14" s="19"/>
      <c r="AF14" s="62">
        <v>342.34</v>
      </c>
      <c r="AG14" s="58">
        <f t="shared" si="6"/>
        <v>0.85584999999999989</v>
      </c>
      <c r="AH14" s="68">
        <v>400</v>
      </c>
      <c r="AI14" s="271">
        <v>321.68</v>
      </c>
      <c r="AJ14" s="178">
        <f t="shared" si="7"/>
        <v>0.80420000000000003</v>
      </c>
      <c r="AK14" s="272">
        <v>321.68</v>
      </c>
      <c r="AL14" s="179">
        <f t="shared" si="8"/>
        <v>0.80420000000000003</v>
      </c>
      <c r="AM14" s="56">
        <v>0</v>
      </c>
      <c r="AN14" s="56">
        <f t="shared" si="13"/>
        <v>321.68</v>
      </c>
      <c r="AO14" s="179">
        <f t="shared" si="9"/>
        <v>0.80420000000000003</v>
      </c>
      <c r="AP14" s="183" t="s">
        <v>150</v>
      </c>
      <c r="AQ14" s="273"/>
      <c r="AR14" s="56">
        <v>321.68</v>
      </c>
      <c r="AS14" s="363">
        <v>400</v>
      </c>
      <c r="AT14" s="364">
        <f>'[1]Current Account'!Y156</f>
        <v>198.79</v>
      </c>
      <c r="AU14" s="364">
        <v>326.83</v>
      </c>
      <c r="AV14" s="347">
        <f t="shared" si="10"/>
        <v>0.817075</v>
      </c>
      <c r="AW14" s="352">
        <v>333.87</v>
      </c>
      <c r="AX14" s="353">
        <f t="shared" si="11"/>
        <v>0.83467500000000006</v>
      </c>
      <c r="AY14" s="354">
        <v>550</v>
      </c>
      <c r="AZ14" s="352">
        <f>'[1]Current Account'!Y156</f>
        <v>198.79</v>
      </c>
      <c r="BA14" s="353">
        <f t="shared" si="14"/>
        <v>0.36143636363636361</v>
      </c>
      <c r="BB14" s="358" t="s">
        <v>206</v>
      </c>
      <c r="BC14" s="359">
        <v>250</v>
      </c>
      <c r="BD14" s="360"/>
      <c r="BE14" s="425">
        <v>179.82</v>
      </c>
      <c r="BF14" s="350">
        <f t="shared" si="17"/>
        <v>0.8</v>
      </c>
      <c r="BG14" s="375">
        <v>216</v>
      </c>
      <c r="BH14" s="434">
        <v>200</v>
      </c>
      <c r="BI14" s="376">
        <v>0</v>
      </c>
      <c r="BJ14" s="472">
        <f t="shared" si="0"/>
        <v>200</v>
      </c>
      <c r="BK14" s="473">
        <f t="shared" si="12"/>
        <v>0.92592592592592593</v>
      </c>
      <c r="BM14" s="349">
        <f>'[2]Current Account'!AB172</f>
        <v>200</v>
      </c>
      <c r="BN14" s="438">
        <v>250</v>
      </c>
      <c r="BO14" s="478">
        <v>250</v>
      </c>
      <c r="BP14" s="159" t="s">
        <v>267</v>
      </c>
      <c r="BS14" s="238" t="s">
        <v>193</v>
      </c>
      <c r="BT14" s="242">
        <v>5000</v>
      </c>
      <c r="BU14" s="242"/>
      <c r="BV14" s="236"/>
      <c r="BW14" s="243"/>
      <c r="BY14" s="327" t="s">
        <v>245</v>
      </c>
      <c r="BZ14" s="320"/>
      <c r="CA14" s="324"/>
      <c r="CB14" s="330">
        <f>SUM(CA4:CA12)</f>
        <v>98000</v>
      </c>
      <c r="CC14" s="463"/>
    </row>
    <row r="15" spans="1:82" ht="30" customHeight="1" x14ac:dyDescent="0.3">
      <c r="A15" s="415" t="s">
        <v>65</v>
      </c>
      <c r="B15" s="61">
        <v>600</v>
      </c>
      <c r="C15" s="265">
        <v>461.33</v>
      </c>
      <c r="D15" s="45">
        <v>600</v>
      </c>
      <c r="E15" s="46">
        <v>485.47</v>
      </c>
      <c r="F15" s="46">
        <v>497.87</v>
      </c>
      <c r="G15" s="45">
        <v>600</v>
      </c>
      <c r="H15" s="46"/>
      <c r="I15" s="44">
        <v>525</v>
      </c>
      <c r="J15" s="47">
        <v>505.46</v>
      </c>
      <c r="K15" s="48">
        <v>550</v>
      </c>
      <c r="L15" s="62">
        <v>498.81</v>
      </c>
      <c r="M15" s="63">
        <v>492.1</v>
      </c>
      <c r="N15" s="62">
        <v>492.1</v>
      </c>
      <c r="O15" s="29">
        <v>0</v>
      </c>
      <c r="P15" s="95">
        <f t="shared" si="1"/>
        <v>492.1</v>
      </c>
      <c r="Q15" s="19"/>
      <c r="R15" s="53">
        <f t="shared" si="2"/>
        <v>492.1</v>
      </c>
      <c r="S15" s="54">
        <f t="shared" si="15"/>
        <v>1</v>
      </c>
      <c r="T15" s="55">
        <v>500</v>
      </c>
      <c r="U15" s="34"/>
      <c r="V15" s="33">
        <f t="shared" si="3"/>
        <v>0</v>
      </c>
      <c r="W15" s="34">
        <v>511.04</v>
      </c>
      <c r="X15" s="33">
        <f t="shared" si="4"/>
        <v>1.0220800000000001</v>
      </c>
      <c r="Y15" s="56">
        <v>511.04</v>
      </c>
      <c r="Z15" s="33">
        <f t="shared" si="5"/>
        <v>1.0220800000000001</v>
      </c>
      <c r="AA15" s="55">
        <v>550</v>
      </c>
      <c r="AB15" s="65">
        <v>518.35</v>
      </c>
      <c r="AC15" s="40">
        <f t="shared" si="16"/>
        <v>0.94245454545454554</v>
      </c>
      <c r="AD15" s="59"/>
      <c r="AE15" s="19"/>
      <c r="AF15" s="62">
        <v>518.35</v>
      </c>
      <c r="AG15" s="58">
        <f t="shared" si="6"/>
        <v>0.94245454545454554</v>
      </c>
      <c r="AH15" s="68">
        <v>600</v>
      </c>
      <c r="AI15" s="271">
        <v>513.05999999999995</v>
      </c>
      <c r="AJ15" s="178">
        <f t="shared" si="7"/>
        <v>0.85509999999999986</v>
      </c>
      <c r="AK15" s="272">
        <v>513.05999999999995</v>
      </c>
      <c r="AL15" s="179">
        <f t="shared" si="8"/>
        <v>0.85509999999999986</v>
      </c>
      <c r="AM15" s="56">
        <v>0</v>
      </c>
      <c r="AN15" s="56">
        <f t="shared" si="13"/>
        <v>513.05999999999995</v>
      </c>
      <c r="AO15" s="179">
        <f t="shared" si="9"/>
        <v>0.85509999999999986</v>
      </c>
      <c r="AP15" s="183" t="s">
        <v>150</v>
      </c>
      <c r="AQ15" s="273"/>
      <c r="AR15" s="56">
        <v>513.05999999999995</v>
      </c>
      <c r="AS15" s="363">
        <v>600</v>
      </c>
      <c r="AT15" s="364">
        <f>'[1]Current Account'!Z156</f>
        <v>540.35</v>
      </c>
      <c r="AU15" s="364">
        <v>526.89</v>
      </c>
      <c r="AV15" s="347">
        <f t="shared" si="10"/>
        <v>0.87814999999999999</v>
      </c>
      <c r="AW15" s="352">
        <v>526.89</v>
      </c>
      <c r="AX15" s="353">
        <f t="shared" si="11"/>
        <v>0.87814999999999999</v>
      </c>
      <c r="AY15" s="354">
        <v>600</v>
      </c>
      <c r="AZ15" s="352">
        <f>'[1]Current Account'!Z156</f>
        <v>540.35</v>
      </c>
      <c r="BA15" s="353">
        <f t="shared" si="14"/>
        <v>0.9005833333333334</v>
      </c>
      <c r="BB15" s="358" t="s">
        <v>207</v>
      </c>
      <c r="BC15" s="359">
        <v>600</v>
      </c>
      <c r="BD15" s="360"/>
      <c r="BE15" s="425">
        <v>547.79</v>
      </c>
      <c r="BF15" s="350">
        <f t="shared" si="17"/>
        <v>0.98553333333333337</v>
      </c>
      <c r="BG15" s="375">
        <v>658</v>
      </c>
      <c r="BH15" s="434">
        <v>591.32000000000005</v>
      </c>
      <c r="BI15" s="376">
        <v>0</v>
      </c>
      <c r="BJ15" s="472">
        <f t="shared" si="0"/>
        <v>591.32000000000005</v>
      </c>
      <c r="BK15" s="473">
        <f t="shared" si="12"/>
        <v>0.89866261398176295</v>
      </c>
      <c r="BM15" s="349">
        <f>'[2]Current Account'!AC172</f>
        <v>591.32000000000005</v>
      </c>
      <c r="BN15" s="438">
        <v>650</v>
      </c>
      <c r="BO15" s="478">
        <v>650</v>
      </c>
      <c r="BS15" s="238" t="s">
        <v>215</v>
      </c>
      <c r="BT15" s="244"/>
      <c r="BU15" s="236">
        <f>SUM(BT14:BT15)</f>
        <v>5000</v>
      </c>
      <c r="BV15" s="236"/>
      <c r="BW15" s="243"/>
      <c r="BY15" s="327" t="s">
        <v>58</v>
      </c>
      <c r="BZ15" s="331"/>
      <c r="CA15" s="331"/>
      <c r="CB15" s="332">
        <f>CB26-CB2-CB14</f>
        <v>59286.580000000016</v>
      </c>
      <c r="CC15" s="463"/>
    </row>
    <row r="16" spans="1:82" ht="60.6" customHeight="1" thickBot="1" x14ac:dyDescent="0.35">
      <c r="A16" s="415" t="s">
        <v>133</v>
      </c>
      <c r="B16" s="61">
        <v>40</v>
      </c>
      <c r="C16" s="265">
        <v>0</v>
      </c>
      <c r="D16" s="45">
        <v>50</v>
      </c>
      <c r="E16" s="46">
        <v>0</v>
      </c>
      <c r="F16" s="46"/>
      <c r="G16" s="45" t="s">
        <v>55</v>
      </c>
      <c r="H16" s="46" t="s">
        <v>55</v>
      </c>
      <c r="I16" s="44"/>
      <c r="J16" s="47"/>
      <c r="K16" s="48"/>
      <c r="L16" s="62"/>
      <c r="M16" s="63"/>
      <c r="N16" s="62">
        <v>0</v>
      </c>
      <c r="O16" s="29">
        <v>0</v>
      </c>
      <c r="P16" s="95">
        <f t="shared" si="1"/>
        <v>0</v>
      </c>
      <c r="Q16" s="19"/>
      <c r="R16" s="53">
        <f t="shared" si="2"/>
        <v>0</v>
      </c>
      <c r="S16" s="54"/>
      <c r="T16" s="55">
        <v>0</v>
      </c>
      <c r="U16" s="34"/>
      <c r="V16" s="33"/>
      <c r="W16" s="34">
        <v>0</v>
      </c>
      <c r="X16" s="33"/>
      <c r="Y16" s="56"/>
      <c r="Z16" s="33"/>
      <c r="AA16" s="55"/>
      <c r="AB16" s="65"/>
      <c r="AC16" s="40"/>
      <c r="AD16" s="59"/>
      <c r="AE16" s="19"/>
      <c r="AF16" s="62"/>
      <c r="AG16" s="58"/>
      <c r="AH16" s="42"/>
      <c r="AI16" s="263"/>
      <c r="AJ16" s="178"/>
      <c r="AK16" s="62">
        <v>1379.08</v>
      </c>
      <c r="AL16" s="179"/>
      <c r="AM16" s="56"/>
      <c r="AN16" s="56">
        <f t="shared" si="13"/>
        <v>1379.08</v>
      </c>
      <c r="AO16" s="179"/>
      <c r="AP16" s="183"/>
      <c r="AQ16" s="264"/>
      <c r="AR16" s="56">
        <f>1829.08-60</f>
        <v>1769.08</v>
      </c>
      <c r="AS16" s="345">
        <v>0</v>
      </c>
      <c r="AT16" s="357">
        <f>'[1]Current Account'!AC156</f>
        <v>225</v>
      </c>
      <c r="AU16" s="357" t="s">
        <v>162</v>
      </c>
      <c r="AV16" s="347"/>
      <c r="AW16" s="352"/>
      <c r="AX16" s="353"/>
      <c r="AY16" s="354"/>
      <c r="AZ16" s="352">
        <f>'[1]Current Account'!AC156</f>
        <v>225</v>
      </c>
      <c r="BA16" s="353"/>
      <c r="BB16" s="358" t="s">
        <v>208</v>
      </c>
      <c r="BC16" s="359"/>
      <c r="BD16" s="360"/>
      <c r="BE16" s="425">
        <v>809.69</v>
      </c>
      <c r="BF16" s="350"/>
      <c r="BG16" s="375">
        <v>0</v>
      </c>
      <c r="BH16" s="434">
        <v>0</v>
      </c>
      <c r="BI16" s="376">
        <v>0</v>
      </c>
      <c r="BJ16" s="472">
        <f t="shared" si="0"/>
        <v>0</v>
      </c>
      <c r="BK16" s="473"/>
      <c r="BM16" s="349">
        <f>'[2]Current Account'!AF172</f>
        <v>0</v>
      </c>
      <c r="BN16" s="438"/>
      <c r="BO16" s="478"/>
      <c r="BS16" s="238"/>
      <c r="BT16" s="242"/>
      <c r="BU16" s="242"/>
      <c r="BV16" s="242"/>
      <c r="BW16" s="243"/>
      <c r="BY16" s="327"/>
      <c r="BZ16" s="320"/>
      <c r="CA16" s="320"/>
      <c r="CB16" s="333">
        <f>CB26</f>
        <v>246133.52000000002</v>
      </c>
      <c r="CC16" s="463"/>
    </row>
    <row r="17" spans="1:81" ht="30" customHeight="1" thickTop="1" x14ac:dyDescent="0.3">
      <c r="A17" s="415" t="s">
        <v>66</v>
      </c>
      <c r="B17" s="61">
        <v>2500</v>
      </c>
      <c r="C17" s="265">
        <v>1636</v>
      </c>
      <c r="D17" s="276">
        <v>2500</v>
      </c>
      <c r="E17" s="277">
        <v>1215</v>
      </c>
      <c r="F17" s="277">
        <v>5023</v>
      </c>
      <c r="G17" s="276">
        <v>2500</v>
      </c>
      <c r="H17" s="277">
        <v>1235</v>
      </c>
      <c r="I17" s="61">
        <v>2500</v>
      </c>
      <c r="J17" s="278">
        <v>2965</v>
      </c>
      <c r="K17" s="279">
        <v>3000</v>
      </c>
      <c r="L17" s="62">
        <v>4681.51</v>
      </c>
      <c r="M17" s="63">
        <v>21000</v>
      </c>
      <c r="N17" s="62">
        <v>14418.93</v>
      </c>
      <c r="O17" s="29">
        <v>-3718.51</v>
      </c>
      <c r="P17" s="95">
        <f t="shared" si="1"/>
        <v>10700.42</v>
      </c>
      <c r="Q17" s="19"/>
      <c r="R17" s="53">
        <f t="shared" si="2"/>
        <v>10700.42</v>
      </c>
      <c r="S17" s="205">
        <f>R17/M17</f>
        <v>0.50954380952380951</v>
      </c>
      <c r="T17" s="55">
        <v>20000</v>
      </c>
      <c r="U17" s="34">
        <f>15171.21+589</f>
        <v>15760.21</v>
      </c>
      <c r="V17" s="33">
        <f t="shared" si="3"/>
        <v>0.78801049999999995</v>
      </c>
      <c r="W17" s="34">
        <f>25621.83-6244</f>
        <v>19377.830000000002</v>
      </c>
      <c r="X17" s="33">
        <f t="shared" si="4"/>
        <v>0.96889150000000013</v>
      </c>
      <c r="Y17" s="56">
        <v>20402.830000000002</v>
      </c>
      <c r="Z17" s="33">
        <f t="shared" si="5"/>
        <v>1.0201415</v>
      </c>
      <c r="AA17" s="55">
        <v>15000</v>
      </c>
      <c r="AB17" s="66">
        <v>1624</v>
      </c>
      <c r="AC17" s="206">
        <f>AB17/AA17</f>
        <v>0.10826666666666666</v>
      </c>
      <c r="AD17" s="202"/>
      <c r="AE17" s="280" t="s">
        <v>67</v>
      </c>
      <c r="AF17" s="62">
        <v>2998</v>
      </c>
      <c r="AG17" s="206">
        <f t="shared" si="6"/>
        <v>0.19986666666666666</v>
      </c>
      <c r="AH17" s="69">
        <v>6000</v>
      </c>
      <c r="AI17" s="267">
        <v>830</v>
      </c>
      <c r="AJ17" s="178">
        <f t="shared" si="7"/>
        <v>0.13833333333333334</v>
      </c>
      <c r="AK17" s="268">
        <f>6612.4+1480+500</f>
        <v>8592.4</v>
      </c>
      <c r="AL17" s="179">
        <f t="shared" si="8"/>
        <v>1.4320666666666666</v>
      </c>
      <c r="AM17" s="56">
        <v>0</v>
      </c>
      <c r="AN17" s="56">
        <f t="shared" si="13"/>
        <v>8592.4</v>
      </c>
      <c r="AO17" s="179">
        <f t="shared" si="9"/>
        <v>1.4320666666666666</v>
      </c>
      <c r="AP17" s="184" t="s">
        <v>149</v>
      </c>
      <c r="AQ17" s="281" t="s">
        <v>137</v>
      </c>
      <c r="AR17" s="56">
        <v>13678.74</v>
      </c>
      <c r="AS17" s="348">
        <v>7500</v>
      </c>
      <c r="AT17" s="351">
        <f>'[1]Current Account'!AB156</f>
        <v>996.25</v>
      </c>
      <c r="AU17" s="351">
        <v>1490</v>
      </c>
      <c r="AV17" s="347">
        <f t="shared" si="10"/>
        <v>0.19866666666666666</v>
      </c>
      <c r="AW17" s="352">
        <v>2550.42</v>
      </c>
      <c r="AX17" s="353">
        <f t="shared" si="11"/>
        <v>0.34005600000000002</v>
      </c>
      <c r="AY17" s="354">
        <v>5090</v>
      </c>
      <c r="AZ17" s="352">
        <f>'[1]Current Account'!AB156</f>
        <v>996.25</v>
      </c>
      <c r="BA17" s="353">
        <f t="shared" si="14"/>
        <v>0.19572691552062868</v>
      </c>
      <c r="BB17" s="355"/>
      <c r="BC17" s="354">
        <v>10940</v>
      </c>
      <c r="BD17" s="356"/>
      <c r="BE17" s="425">
        <v>7921.11</v>
      </c>
      <c r="BF17" s="350">
        <f>BM17/BC17</f>
        <v>4.5551188299817191E-2</v>
      </c>
      <c r="BG17" s="375">
        <v>5800</v>
      </c>
      <c r="BH17" s="434">
        <v>208.33</v>
      </c>
      <c r="BI17" s="376">
        <f>BG17-BH17</f>
        <v>5591.67</v>
      </c>
      <c r="BJ17" s="472">
        <f t="shared" si="0"/>
        <v>5800</v>
      </c>
      <c r="BK17" s="473">
        <f t="shared" si="12"/>
        <v>1</v>
      </c>
      <c r="BM17" s="349">
        <f>'[2]Current Account'!AE172</f>
        <v>498.33000000000004</v>
      </c>
      <c r="BN17" s="438">
        <v>4800</v>
      </c>
      <c r="BO17" s="478">
        <v>4800</v>
      </c>
      <c r="BP17" s="159" t="s">
        <v>292</v>
      </c>
      <c r="BS17" s="238" t="s">
        <v>147</v>
      </c>
      <c r="BT17" s="241"/>
      <c r="BU17" s="241"/>
      <c r="BV17" s="241"/>
      <c r="BW17" s="245">
        <f>SUM(BU5:BU15)</f>
        <v>15000</v>
      </c>
      <c r="BY17" s="327"/>
      <c r="BZ17" s="320"/>
      <c r="CA17" s="320"/>
      <c r="CB17" s="420"/>
      <c r="CC17" s="463"/>
    </row>
    <row r="18" spans="1:81" ht="30" customHeight="1" x14ac:dyDescent="0.3">
      <c r="A18" s="415" t="s">
        <v>68</v>
      </c>
      <c r="B18" s="61">
        <v>2927.15</v>
      </c>
      <c r="C18" s="265">
        <v>2927.18</v>
      </c>
      <c r="D18" s="276">
        <v>5000</v>
      </c>
      <c r="E18" s="277">
        <v>4446.37</v>
      </c>
      <c r="F18" s="277">
        <v>5375.82</v>
      </c>
      <c r="G18" s="276">
        <v>7500</v>
      </c>
      <c r="H18" s="277">
        <v>4345.13</v>
      </c>
      <c r="I18" s="61">
        <v>6500</v>
      </c>
      <c r="J18" s="278">
        <v>6478.7</v>
      </c>
      <c r="K18" s="279">
        <v>6000</v>
      </c>
      <c r="L18" s="62">
        <v>4984.3999999999996</v>
      </c>
      <c r="M18" s="63">
        <v>5300</v>
      </c>
      <c r="N18" s="62">
        <v>5774.22</v>
      </c>
      <c r="O18" s="29">
        <v>0</v>
      </c>
      <c r="P18" s="95">
        <f t="shared" si="1"/>
        <v>5774.22</v>
      </c>
      <c r="Q18" s="19"/>
      <c r="R18" s="53">
        <f t="shared" si="2"/>
        <v>5774.22</v>
      </c>
      <c r="S18" s="205">
        <f>R18/M18</f>
        <v>1.0894754716981132</v>
      </c>
      <c r="T18" s="55">
        <v>6000</v>
      </c>
      <c r="U18" s="34">
        <v>2012.8</v>
      </c>
      <c r="V18" s="33">
        <f t="shared" si="3"/>
        <v>0.33546666666666664</v>
      </c>
      <c r="W18" s="34">
        <v>4277.2</v>
      </c>
      <c r="X18" s="33">
        <f t="shared" si="4"/>
        <v>0.71286666666666665</v>
      </c>
      <c r="Y18" s="56">
        <v>6164.2</v>
      </c>
      <c r="Z18" s="33">
        <f t="shared" si="5"/>
        <v>1.0273666666666665</v>
      </c>
      <c r="AA18" s="55">
        <v>6500</v>
      </c>
      <c r="AB18" s="66">
        <v>2767.6</v>
      </c>
      <c r="AC18" s="206">
        <f>AB18/AA18</f>
        <v>0.42578461538461537</v>
      </c>
      <c r="AD18" s="202"/>
      <c r="AE18" s="280"/>
      <c r="AF18" s="62">
        <v>6352.9</v>
      </c>
      <c r="AG18" s="206">
        <f t="shared" si="6"/>
        <v>0.97736923076923077</v>
      </c>
      <c r="AH18" s="69">
        <v>9000</v>
      </c>
      <c r="AI18" s="267"/>
      <c r="AJ18" s="178">
        <f t="shared" si="7"/>
        <v>0</v>
      </c>
      <c r="AK18" s="268">
        <v>2516</v>
      </c>
      <c r="AL18" s="179">
        <f t="shared" si="8"/>
        <v>0.27955555555555556</v>
      </c>
      <c r="AM18" s="56">
        <f>452.88*5</f>
        <v>2264.4</v>
      </c>
      <c r="AN18" s="56">
        <f t="shared" si="13"/>
        <v>4780.3999999999996</v>
      </c>
      <c r="AO18" s="179">
        <f t="shared" si="9"/>
        <v>0.53115555555555549</v>
      </c>
      <c r="AP18" s="183"/>
      <c r="AQ18" s="281"/>
      <c r="AR18" s="56">
        <v>4676.7</v>
      </c>
      <c r="AS18" s="348">
        <v>9000</v>
      </c>
      <c r="AT18" s="351">
        <f>'[1]Current Account'!O156</f>
        <v>6482.4000000000005</v>
      </c>
      <c r="AU18" s="351">
        <v>4218</v>
      </c>
      <c r="AV18" s="347">
        <f t="shared" si="10"/>
        <v>0.46866666666666668</v>
      </c>
      <c r="AW18" s="352">
        <v>6382.5</v>
      </c>
      <c r="AX18" s="353">
        <f t="shared" si="11"/>
        <v>0.70916666666666661</v>
      </c>
      <c r="AY18" s="354">
        <v>9200</v>
      </c>
      <c r="AZ18" s="352">
        <f>'[1]Current Account'!O156</f>
        <v>6482.4000000000005</v>
      </c>
      <c r="BA18" s="353">
        <f t="shared" si="14"/>
        <v>0.70460869565217399</v>
      </c>
      <c r="BB18" s="356"/>
      <c r="BC18" s="354">
        <v>9944.7999999999993</v>
      </c>
      <c r="BD18" s="356" t="s">
        <v>218</v>
      </c>
      <c r="BE18" s="425">
        <v>7532.1</v>
      </c>
      <c r="BF18" s="350">
        <f>BM18/BC18</f>
        <v>0.49933432547663104</v>
      </c>
      <c r="BG18" s="375">
        <v>10255</v>
      </c>
      <c r="BH18" s="434">
        <v>4127.8599999999997</v>
      </c>
      <c r="BI18" s="376">
        <f>BH18/8*4</f>
        <v>2063.9299999999998</v>
      </c>
      <c r="BJ18" s="472">
        <f t="shared" si="0"/>
        <v>6191.7899999999991</v>
      </c>
      <c r="BK18" s="473">
        <f t="shared" si="12"/>
        <v>0.60378254509995111</v>
      </c>
      <c r="BM18" s="349">
        <f>'[2]Current Account'!O172</f>
        <v>4965.78</v>
      </c>
      <c r="BN18" s="438">
        <v>10000</v>
      </c>
      <c r="BO18" s="478">
        <v>10000</v>
      </c>
      <c r="BP18" s="431" t="s">
        <v>293</v>
      </c>
      <c r="BQ18" s="431"/>
      <c r="BS18" s="238"/>
      <c r="BT18" s="241"/>
      <c r="BU18" s="241"/>
      <c r="BV18" s="241"/>
      <c r="BW18" s="240"/>
      <c r="BY18" s="316" t="s">
        <v>278</v>
      </c>
      <c r="BZ18" s="317"/>
      <c r="CA18" s="317"/>
      <c r="CB18" s="334">
        <f>178422.01-CB19-CB20</f>
        <v>145475.15</v>
      </c>
      <c r="CC18" s="463" t="s">
        <v>679</v>
      </c>
    </row>
    <row r="19" spans="1:81" ht="30" customHeight="1" x14ac:dyDescent="0.3">
      <c r="A19" s="415" t="s">
        <v>69</v>
      </c>
      <c r="B19" s="61">
        <v>200</v>
      </c>
      <c r="C19" s="265">
        <v>1584.64</v>
      </c>
      <c r="D19" s="276">
        <v>500</v>
      </c>
      <c r="E19" s="277">
        <v>1994.1</v>
      </c>
      <c r="F19" s="277"/>
      <c r="G19" s="276">
        <v>1000</v>
      </c>
      <c r="H19" s="277">
        <v>4233.18</v>
      </c>
      <c r="I19" s="61">
        <v>1000</v>
      </c>
      <c r="J19" s="282">
        <v>4585.72</v>
      </c>
      <c r="K19" s="279">
        <v>4000</v>
      </c>
      <c r="L19" s="62">
        <f>383+825.2</f>
        <v>1208.2</v>
      </c>
      <c r="M19" s="63">
        <v>3000</v>
      </c>
      <c r="N19" s="62">
        <v>1600</v>
      </c>
      <c r="O19" s="29">
        <v>0</v>
      </c>
      <c r="P19" s="95">
        <f t="shared" si="1"/>
        <v>1600</v>
      </c>
      <c r="Q19" s="19"/>
      <c r="R19" s="53">
        <f t="shared" si="2"/>
        <v>1600</v>
      </c>
      <c r="S19" s="205">
        <f>R19/M19</f>
        <v>0.53333333333333333</v>
      </c>
      <c r="T19" s="55">
        <v>5000</v>
      </c>
      <c r="U19" s="34">
        <v>626</v>
      </c>
      <c r="V19" s="33">
        <f t="shared" si="3"/>
        <v>0.12520000000000001</v>
      </c>
      <c r="W19" s="34">
        <v>1698</v>
      </c>
      <c r="X19" s="33">
        <f t="shared" si="4"/>
        <v>0.33960000000000001</v>
      </c>
      <c r="Y19" s="56">
        <v>1698</v>
      </c>
      <c r="Z19" s="33">
        <f t="shared" si="5"/>
        <v>0.33960000000000001</v>
      </c>
      <c r="AA19" s="55">
        <v>3500</v>
      </c>
      <c r="AB19" s="66">
        <v>193.15</v>
      </c>
      <c r="AC19" s="206">
        <f>AB19/AA19</f>
        <v>5.5185714285714289E-2</v>
      </c>
      <c r="AD19" s="202"/>
      <c r="AE19" s="280"/>
      <c r="AF19" s="62">
        <f>404.14+2429</f>
        <v>2833.14</v>
      </c>
      <c r="AG19" s="206">
        <f t="shared" si="6"/>
        <v>0.80946857142857143</v>
      </c>
      <c r="AH19" s="68">
        <v>3500</v>
      </c>
      <c r="AI19" s="271"/>
      <c r="AJ19" s="178">
        <f t="shared" si="7"/>
        <v>0</v>
      </c>
      <c r="AK19" s="272">
        <v>192</v>
      </c>
      <c r="AL19" s="179">
        <f t="shared" si="8"/>
        <v>5.4857142857142854E-2</v>
      </c>
      <c r="AM19" s="56">
        <v>100</v>
      </c>
      <c r="AN19" s="56">
        <f t="shared" si="13"/>
        <v>292</v>
      </c>
      <c r="AO19" s="179">
        <f t="shared" si="9"/>
        <v>8.3428571428571435E-2</v>
      </c>
      <c r="AP19" s="183"/>
      <c r="AQ19" s="273"/>
      <c r="AR19" s="56">
        <v>442</v>
      </c>
      <c r="AS19" s="363">
        <v>3500</v>
      </c>
      <c r="AT19" s="364">
        <f>'[1]Current Account'!AD156</f>
        <v>1411</v>
      </c>
      <c r="AU19" s="364">
        <v>343</v>
      </c>
      <c r="AV19" s="347">
        <f t="shared" si="10"/>
        <v>9.8000000000000004E-2</v>
      </c>
      <c r="AW19" s="352">
        <v>343</v>
      </c>
      <c r="AX19" s="353">
        <f t="shared" si="11"/>
        <v>9.8000000000000004E-2</v>
      </c>
      <c r="AY19" s="354">
        <v>1000</v>
      </c>
      <c r="AZ19" s="352">
        <f>'[1]Current Account'!AD156-500</f>
        <v>911</v>
      </c>
      <c r="BA19" s="353">
        <f t="shared" si="14"/>
        <v>0.91100000000000003</v>
      </c>
      <c r="BB19" s="356"/>
      <c r="BC19" s="354">
        <v>1000</v>
      </c>
      <c r="BD19" s="356"/>
      <c r="BE19" s="425">
        <v>303</v>
      </c>
      <c r="BF19" s="350">
        <f>BM19/BC19</f>
        <v>0.47864999999999996</v>
      </c>
      <c r="BG19" s="375">
        <v>2600</v>
      </c>
      <c r="BH19" s="434">
        <v>478.65</v>
      </c>
      <c r="BI19" s="376">
        <f>BH19/8*4</f>
        <v>239.32499999999999</v>
      </c>
      <c r="BJ19" s="472">
        <f t="shared" si="0"/>
        <v>717.97499999999991</v>
      </c>
      <c r="BK19" s="473">
        <f t="shared" si="12"/>
        <v>0.27614423076923073</v>
      </c>
      <c r="BM19" s="349">
        <f>'[2]Current Account'!AG172+'[2]Current Account'!AH172</f>
        <v>478.65</v>
      </c>
      <c r="BN19" s="438">
        <v>2600</v>
      </c>
      <c r="BO19" s="478">
        <v>2600</v>
      </c>
      <c r="BS19" s="238" t="s">
        <v>58</v>
      </c>
      <c r="BT19" s="242"/>
      <c r="BU19" s="242"/>
      <c r="BV19" s="242"/>
      <c r="BW19" s="245">
        <f>BW20-BW2-BW17</f>
        <v>570558.82999999984</v>
      </c>
      <c r="BY19" s="316" t="s">
        <v>251</v>
      </c>
      <c r="BZ19" s="317"/>
      <c r="CA19" s="317"/>
      <c r="CB19" s="334">
        <f>66244.96-48066.3</f>
        <v>18178.660000000003</v>
      </c>
      <c r="CC19" s="463" t="s">
        <v>252</v>
      </c>
    </row>
    <row r="20" spans="1:81" ht="30" customHeight="1" thickBot="1" x14ac:dyDescent="0.35">
      <c r="A20" s="415" t="s">
        <v>70</v>
      </c>
      <c r="B20" s="61">
        <v>500</v>
      </c>
      <c r="C20" s="265">
        <v>1045.94</v>
      </c>
      <c r="D20" s="276">
        <v>600</v>
      </c>
      <c r="E20" s="277">
        <v>769.8</v>
      </c>
      <c r="F20" s="277"/>
      <c r="G20" s="276" t="s">
        <v>55</v>
      </c>
      <c r="H20" s="277"/>
      <c r="I20" s="61"/>
      <c r="J20" s="278"/>
      <c r="K20" s="279"/>
      <c r="L20" s="62">
        <v>1673.32</v>
      </c>
      <c r="M20" s="63"/>
      <c r="N20" s="62">
        <v>5096.16</v>
      </c>
      <c r="O20" s="29">
        <v>0</v>
      </c>
      <c r="P20" s="95">
        <f t="shared" si="1"/>
        <v>5096.16</v>
      </c>
      <c r="Q20" s="19"/>
      <c r="R20" s="53">
        <f t="shared" si="2"/>
        <v>5096.16</v>
      </c>
      <c r="S20" s="205"/>
      <c r="T20" s="55">
        <v>0</v>
      </c>
      <c r="U20" s="34"/>
      <c r="V20" s="33"/>
      <c r="W20" s="34"/>
      <c r="X20" s="33"/>
      <c r="Y20" s="56"/>
      <c r="Z20" s="33"/>
      <c r="AA20" s="55"/>
      <c r="AB20" s="66"/>
      <c r="AC20" s="206"/>
      <c r="AD20" s="202"/>
      <c r="AE20" s="280"/>
      <c r="AF20" s="62"/>
      <c r="AG20" s="206"/>
      <c r="AH20" s="68"/>
      <c r="AI20" s="271"/>
      <c r="AJ20" s="178"/>
      <c r="AK20" s="272"/>
      <c r="AL20" s="179"/>
      <c r="AM20" s="56">
        <v>0</v>
      </c>
      <c r="AN20" s="56">
        <f t="shared" si="13"/>
        <v>0</v>
      </c>
      <c r="AO20" s="179"/>
      <c r="AP20" s="183"/>
      <c r="AQ20" s="273"/>
      <c r="AR20" s="56"/>
      <c r="AS20" s="363"/>
      <c r="AT20" s="364"/>
      <c r="AU20" s="364">
        <v>0</v>
      </c>
      <c r="AV20" s="347"/>
      <c r="AW20" s="352"/>
      <c r="AX20" s="353"/>
      <c r="AY20" s="354"/>
      <c r="AZ20" s="352"/>
      <c r="BA20" s="353"/>
      <c r="BB20" s="356"/>
      <c r="BC20" s="354"/>
      <c r="BD20" s="356"/>
      <c r="BE20" s="425"/>
      <c r="BF20" s="350"/>
      <c r="BG20" s="375"/>
      <c r="BH20" s="434"/>
      <c r="BI20" s="376"/>
      <c r="BJ20" s="472">
        <f t="shared" si="0"/>
        <v>0</v>
      </c>
      <c r="BK20" s="473"/>
      <c r="BM20" s="349"/>
      <c r="BN20" s="438"/>
      <c r="BO20" s="478"/>
      <c r="BS20" s="238"/>
      <c r="BT20" s="241"/>
      <c r="BU20" s="241"/>
      <c r="BV20" s="241"/>
      <c r="BW20" s="246">
        <f>BW27</f>
        <v>654449.00999999978</v>
      </c>
      <c r="BY20" s="316" t="s">
        <v>253</v>
      </c>
      <c r="BZ20" s="317"/>
      <c r="CA20" s="317"/>
      <c r="CB20" s="334">
        <v>14768.2</v>
      </c>
      <c r="CC20" s="463" t="s">
        <v>254</v>
      </c>
    </row>
    <row r="21" spans="1:81" ht="30" customHeight="1" thickTop="1" x14ac:dyDescent="0.3">
      <c r="A21" s="415" t="s">
        <v>71</v>
      </c>
      <c r="B21" s="61"/>
      <c r="C21" s="265"/>
      <c r="D21" s="276"/>
      <c r="E21" s="277"/>
      <c r="F21" s="277"/>
      <c r="G21" s="276"/>
      <c r="H21" s="277">
        <v>133.62</v>
      </c>
      <c r="I21" s="61"/>
      <c r="J21" s="278">
        <v>278.5</v>
      </c>
      <c r="K21" s="279">
        <v>100</v>
      </c>
      <c r="L21" s="62">
        <v>18.940000000000001</v>
      </c>
      <c r="M21" s="63">
        <v>20</v>
      </c>
      <c r="N21" s="62">
        <v>22.08</v>
      </c>
      <c r="O21" s="29">
        <v>0</v>
      </c>
      <c r="P21" s="95">
        <f t="shared" si="1"/>
        <v>22.08</v>
      </c>
      <c r="Q21" s="19"/>
      <c r="R21" s="53">
        <f t="shared" si="2"/>
        <v>22.08</v>
      </c>
      <c r="S21" s="205">
        <f>R21/M21</f>
        <v>1.1039999999999999</v>
      </c>
      <c r="T21" s="55">
        <v>30</v>
      </c>
      <c r="U21" s="34"/>
      <c r="V21" s="33">
        <f t="shared" si="3"/>
        <v>0</v>
      </c>
      <c r="W21" s="34">
        <v>386.82</v>
      </c>
      <c r="X21" s="33">
        <f t="shared" si="4"/>
        <v>12.894</v>
      </c>
      <c r="Y21" s="56">
        <v>386.82</v>
      </c>
      <c r="Z21" s="33">
        <f t="shared" si="5"/>
        <v>12.894</v>
      </c>
      <c r="AA21" s="55">
        <v>30</v>
      </c>
      <c r="AB21" s="66">
        <v>0</v>
      </c>
      <c r="AC21" s="206">
        <f>AB21/AA21</f>
        <v>0</v>
      </c>
      <c r="AD21" s="202" t="s">
        <v>72</v>
      </c>
      <c r="AE21" s="280"/>
      <c r="AF21" s="62">
        <v>49.05</v>
      </c>
      <c r="AG21" s="206">
        <f t="shared" si="6"/>
        <v>1.635</v>
      </c>
      <c r="AH21" s="68">
        <v>100</v>
      </c>
      <c r="AI21" s="271"/>
      <c r="AJ21" s="178">
        <f t="shared" si="7"/>
        <v>0</v>
      </c>
      <c r="AK21" s="272">
        <v>27.84</v>
      </c>
      <c r="AL21" s="179">
        <f t="shared" si="8"/>
        <v>0.27839999999999998</v>
      </c>
      <c r="AM21" s="56">
        <v>59.45</v>
      </c>
      <c r="AN21" s="56">
        <f t="shared" si="13"/>
        <v>87.29</v>
      </c>
      <c r="AO21" s="179">
        <f t="shared" si="9"/>
        <v>0.87290000000000001</v>
      </c>
      <c r="AP21" s="183"/>
      <c r="AQ21" s="273"/>
      <c r="AR21" s="56">
        <v>87.29</v>
      </c>
      <c r="AS21" s="363">
        <v>100</v>
      </c>
      <c r="AT21" s="364">
        <f>'[1]Current Account'!V156</f>
        <v>506.31</v>
      </c>
      <c r="AU21" s="364">
        <v>81.75</v>
      </c>
      <c r="AV21" s="347">
        <f t="shared" si="10"/>
        <v>0.8175</v>
      </c>
      <c r="AW21" s="352">
        <v>81.75</v>
      </c>
      <c r="AX21" s="353">
        <f t="shared" si="11"/>
        <v>0.8175</v>
      </c>
      <c r="AY21" s="354">
        <v>100</v>
      </c>
      <c r="AZ21" s="352">
        <f>'[1]Current Account'!V156</f>
        <v>506.31</v>
      </c>
      <c r="BA21" s="353">
        <f t="shared" si="14"/>
        <v>5.0631000000000004</v>
      </c>
      <c r="BB21" s="365" t="s">
        <v>221</v>
      </c>
      <c r="BC21" s="359">
        <v>110</v>
      </c>
      <c r="BD21" s="360" t="s">
        <v>220</v>
      </c>
      <c r="BE21" s="425">
        <v>128.11000000000001</v>
      </c>
      <c r="BF21" s="350">
        <f>BM21/BC21</f>
        <v>0.94827272727272727</v>
      </c>
      <c r="BG21" s="375">
        <v>140</v>
      </c>
      <c r="BH21" s="434">
        <v>104.31</v>
      </c>
      <c r="BI21" s="376">
        <v>0</v>
      </c>
      <c r="BJ21" s="472">
        <f t="shared" si="0"/>
        <v>104.31</v>
      </c>
      <c r="BK21" s="473">
        <f t="shared" si="12"/>
        <v>0.74507142857142861</v>
      </c>
      <c r="BM21" s="349">
        <f>'[2]Current Account'!Y172</f>
        <v>104.31</v>
      </c>
      <c r="BN21" s="438">
        <v>500</v>
      </c>
      <c r="BO21" s="478">
        <v>500</v>
      </c>
      <c r="BS21" s="238"/>
      <c r="BT21" s="241"/>
      <c r="BU21" s="241"/>
      <c r="BV21" s="241"/>
      <c r="BW21" s="247"/>
      <c r="BY21" s="327" t="s">
        <v>271</v>
      </c>
      <c r="BZ21" s="320"/>
      <c r="CA21" s="320"/>
      <c r="CB21" s="334">
        <v>1211.51</v>
      </c>
      <c r="CC21" s="465" t="s">
        <v>680</v>
      </c>
    </row>
    <row r="22" spans="1:81" ht="30" customHeight="1" x14ac:dyDescent="0.3">
      <c r="A22" s="415" t="s">
        <v>11</v>
      </c>
      <c r="B22" s="61">
        <v>2800</v>
      </c>
      <c r="C22" s="265">
        <v>2681.5</v>
      </c>
      <c r="D22" s="276">
        <v>800</v>
      </c>
      <c r="E22" s="277">
        <v>2506.1</v>
      </c>
      <c r="F22" s="277">
        <v>3777.47</v>
      </c>
      <c r="G22" s="276">
        <v>1500</v>
      </c>
      <c r="H22" s="277">
        <v>332.7</v>
      </c>
      <c r="I22" s="61">
        <v>1000</v>
      </c>
      <c r="J22" s="278">
        <v>382.99</v>
      </c>
      <c r="K22" s="279">
        <v>500</v>
      </c>
      <c r="L22" s="62">
        <f>361+1310.21+271+70</f>
        <v>2012.21</v>
      </c>
      <c r="M22" s="63">
        <v>1500</v>
      </c>
      <c r="N22" s="62">
        <v>5377.02</v>
      </c>
      <c r="O22" s="29">
        <v>0</v>
      </c>
      <c r="P22" s="95">
        <f t="shared" si="1"/>
        <v>5377.02</v>
      </c>
      <c r="Q22" s="19"/>
      <c r="R22" s="53">
        <f t="shared" si="2"/>
        <v>5377.02</v>
      </c>
      <c r="S22" s="205">
        <f>R22/M22</f>
        <v>3.5846800000000001</v>
      </c>
      <c r="T22" s="55">
        <v>12000</v>
      </c>
      <c r="U22" s="34">
        <v>10418</v>
      </c>
      <c r="V22" s="33">
        <f t="shared" si="3"/>
        <v>0.86816666666666664</v>
      </c>
      <c r="W22" s="34">
        <v>10418</v>
      </c>
      <c r="X22" s="33">
        <f t="shared" si="4"/>
        <v>0.86816666666666664</v>
      </c>
      <c r="Y22" s="56">
        <v>10418</v>
      </c>
      <c r="Z22" s="33">
        <f t="shared" si="5"/>
        <v>0.86816666666666664</v>
      </c>
      <c r="AA22" s="55"/>
      <c r="AB22" s="66">
        <v>0</v>
      </c>
      <c r="AC22" s="206"/>
      <c r="AD22" s="202"/>
      <c r="AE22" s="280" t="s">
        <v>73</v>
      </c>
      <c r="AF22" s="62"/>
      <c r="AG22" s="206"/>
      <c r="AH22" s="69"/>
      <c r="AI22" s="267"/>
      <c r="AJ22" s="178"/>
      <c r="AK22" s="268">
        <v>0</v>
      </c>
      <c r="AL22" s="179"/>
      <c r="AM22" s="56">
        <v>0</v>
      </c>
      <c r="AN22" s="56">
        <f t="shared" si="13"/>
        <v>0</v>
      </c>
      <c r="AO22" s="179"/>
      <c r="AP22" s="183"/>
      <c r="AQ22" s="281"/>
      <c r="AR22" s="56"/>
      <c r="AS22" s="348"/>
      <c r="AT22" s="351">
        <v>0</v>
      </c>
      <c r="AU22" s="351">
        <v>0</v>
      </c>
      <c r="AV22" s="347"/>
      <c r="AW22" s="352"/>
      <c r="AX22" s="353"/>
      <c r="AY22" s="354">
        <v>0</v>
      </c>
      <c r="AZ22" s="352">
        <v>0</v>
      </c>
      <c r="BA22" s="353"/>
      <c r="BB22" s="356"/>
      <c r="BC22" s="354"/>
      <c r="BD22" s="356"/>
      <c r="BE22" s="425"/>
      <c r="BF22" s="350"/>
      <c r="BG22" s="375"/>
      <c r="BH22" s="434"/>
      <c r="BI22" s="376"/>
      <c r="BJ22" s="472">
        <f t="shared" si="0"/>
        <v>0</v>
      </c>
      <c r="BK22" s="473"/>
      <c r="BM22" s="349"/>
      <c r="BN22" s="438">
        <v>0</v>
      </c>
      <c r="BO22" s="478">
        <v>0</v>
      </c>
      <c r="BS22" s="229"/>
      <c r="BT22" s="230"/>
      <c r="BU22" s="230"/>
      <c r="BV22" s="230"/>
      <c r="BW22" s="248"/>
      <c r="BY22" s="327"/>
      <c r="BZ22" s="320"/>
      <c r="CA22" s="320"/>
      <c r="CB22" s="334"/>
      <c r="CC22" s="465"/>
    </row>
    <row r="23" spans="1:81" ht="43.8" customHeight="1" x14ac:dyDescent="0.3">
      <c r="A23" s="484" t="s">
        <v>153</v>
      </c>
      <c r="B23" s="485"/>
      <c r="C23" s="486"/>
      <c r="D23" s="487"/>
      <c r="E23" s="488"/>
      <c r="F23" s="488"/>
      <c r="G23" s="487">
        <v>1500</v>
      </c>
      <c r="H23" s="488"/>
      <c r="I23" s="485">
        <v>2000</v>
      </c>
      <c r="J23" s="489">
        <v>2000</v>
      </c>
      <c r="K23" s="490">
        <v>4000</v>
      </c>
      <c r="L23" s="491">
        <v>2000</v>
      </c>
      <c r="M23" s="492">
        <v>3000</v>
      </c>
      <c r="N23" s="491">
        <v>768.84</v>
      </c>
      <c r="O23" s="493">
        <v>2500</v>
      </c>
      <c r="P23" s="494">
        <f t="shared" si="1"/>
        <v>3268.84</v>
      </c>
      <c r="Q23" s="495"/>
      <c r="R23" s="496">
        <f t="shared" si="2"/>
        <v>3268.84</v>
      </c>
      <c r="S23" s="497">
        <f>R23/M23</f>
        <v>1.0896133333333333</v>
      </c>
      <c r="T23" s="498">
        <v>5500</v>
      </c>
      <c r="U23" s="499">
        <f>2627.2+787.5</f>
        <v>3414.7</v>
      </c>
      <c r="V23" s="500">
        <f t="shared" si="3"/>
        <v>0.62085454545454544</v>
      </c>
      <c r="W23" s="499">
        <f>2040.7+2500</f>
        <v>4540.7</v>
      </c>
      <c r="X23" s="500">
        <f t="shared" si="4"/>
        <v>0.82558181818181819</v>
      </c>
      <c r="Y23" s="501">
        <v>5690.7</v>
      </c>
      <c r="Z23" s="500">
        <f t="shared" si="5"/>
        <v>1.0346727272727272</v>
      </c>
      <c r="AA23" s="498">
        <v>6000</v>
      </c>
      <c r="AB23" s="502">
        <v>1681</v>
      </c>
      <c r="AC23" s="503">
        <f>AB23/AA23</f>
        <v>0.28016666666666667</v>
      </c>
      <c r="AD23" s="504" t="s">
        <v>74</v>
      </c>
      <c r="AE23" s="505" t="s">
        <v>75</v>
      </c>
      <c r="AF23" s="491">
        <v>4056</v>
      </c>
      <c r="AG23" s="503">
        <f t="shared" si="6"/>
        <v>0.67600000000000005</v>
      </c>
      <c r="AH23" s="506">
        <v>6500</v>
      </c>
      <c r="AI23" s="507">
        <v>2924</v>
      </c>
      <c r="AJ23" s="508">
        <f t="shared" si="7"/>
        <v>0.44984615384615384</v>
      </c>
      <c r="AK23" s="509">
        <v>3777.5</v>
      </c>
      <c r="AL23" s="510">
        <f t="shared" si="8"/>
        <v>0.58115384615384613</v>
      </c>
      <c r="AM23" s="501">
        <f>262.5*5</f>
        <v>1312.5</v>
      </c>
      <c r="AN23" s="501">
        <f t="shared" si="13"/>
        <v>5090</v>
      </c>
      <c r="AO23" s="510">
        <f t="shared" si="9"/>
        <v>0.78307692307692311</v>
      </c>
      <c r="AP23" s="511"/>
      <c r="AQ23" s="512"/>
      <c r="AR23" s="501">
        <v>5090</v>
      </c>
      <c r="AS23" s="513">
        <v>5500</v>
      </c>
      <c r="AT23" s="514">
        <f>'[1]Current Account'!AJ156</f>
        <v>4947.41</v>
      </c>
      <c r="AU23" s="514">
        <v>2955.2</v>
      </c>
      <c r="AV23" s="515">
        <f t="shared" si="10"/>
        <v>0.53730909090909085</v>
      </c>
      <c r="AW23" s="516">
        <v>5445.02</v>
      </c>
      <c r="AX23" s="517">
        <f t="shared" si="11"/>
        <v>0.99000363636363642</v>
      </c>
      <c r="AY23" s="518">
        <v>4500</v>
      </c>
      <c r="AZ23" s="516">
        <f>'[1]Current Account'!AJ156</f>
        <v>4947.41</v>
      </c>
      <c r="BA23" s="517">
        <f t="shared" si="14"/>
        <v>1.0994244444444443</v>
      </c>
      <c r="BB23" s="519"/>
      <c r="BC23" s="518">
        <v>4500</v>
      </c>
      <c r="BD23" s="520" t="s">
        <v>225</v>
      </c>
      <c r="BE23" s="521">
        <v>6361.16</v>
      </c>
      <c r="BF23" s="515">
        <f>BM23/BC23</f>
        <v>1.8763600000000002</v>
      </c>
      <c r="BG23" s="522">
        <v>10000</v>
      </c>
      <c r="BH23" s="523">
        <v>6806.7</v>
      </c>
      <c r="BI23" s="524">
        <f>BH23/8*4</f>
        <v>3403.35</v>
      </c>
      <c r="BJ23" s="472">
        <f t="shared" si="0"/>
        <v>10210.049999999999</v>
      </c>
      <c r="BK23" s="473">
        <f t="shared" si="12"/>
        <v>1.0210049999999999</v>
      </c>
      <c r="BM23" s="521">
        <v>8443.6200000000008</v>
      </c>
      <c r="BN23" s="525">
        <f>15000-2640</f>
        <v>12360</v>
      </c>
      <c r="BO23" s="478">
        <f>BN23+BN6</f>
        <v>15000</v>
      </c>
      <c r="BP23" s="431" t="s">
        <v>291</v>
      </c>
      <c r="BS23" s="229" t="s">
        <v>178</v>
      </c>
      <c r="BT23" s="230"/>
      <c r="BU23" s="230"/>
      <c r="BV23" s="230"/>
      <c r="BW23" s="243">
        <f>'[1]Bank Rec'!G25-12455.93</f>
        <v>585191.71999999986</v>
      </c>
      <c r="BY23" s="327"/>
      <c r="BZ23" s="320"/>
      <c r="CA23" s="320"/>
      <c r="CB23" s="334"/>
      <c r="CC23" s="465"/>
    </row>
    <row r="24" spans="1:81" ht="30" customHeight="1" x14ac:dyDescent="0.3">
      <c r="A24" s="415" t="s">
        <v>76</v>
      </c>
      <c r="B24" s="61"/>
      <c r="C24" s="265"/>
      <c r="D24" s="276"/>
      <c r="E24" s="277"/>
      <c r="F24" s="277"/>
      <c r="G24" s="276">
        <v>1850</v>
      </c>
      <c r="H24" s="277"/>
      <c r="I24" s="61">
        <v>2550</v>
      </c>
      <c r="J24" s="278">
        <v>0</v>
      </c>
      <c r="K24" s="279" t="s">
        <v>55</v>
      </c>
      <c r="L24" s="62">
        <v>0</v>
      </c>
      <c r="M24" s="63">
        <v>5000</v>
      </c>
      <c r="N24" s="62">
        <v>1172.9000000000001</v>
      </c>
      <c r="O24" s="29">
        <v>0</v>
      </c>
      <c r="P24" s="95">
        <f t="shared" si="1"/>
        <v>1172.9000000000001</v>
      </c>
      <c r="Q24" s="19"/>
      <c r="R24" s="53">
        <f t="shared" si="2"/>
        <v>1172.9000000000001</v>
      </c>
      <c r="S24" s="205">
        <f>R24/M24</f>
        <v>0.23458000000000001</v>
      </c>
      <c r="T24" s="55">
        <v>15000</v>
      </c>
      <c r="U24" s="34">
        <v>1003.5</v>
      </c>
      <c r="V24" s="33">
        <f t="shared" si="3"/>
        <v>6.6900000000000001E-2</v>
      </c>
      <c r="W24" s="34">
        <v>3971.7</v>
      </c>
      <c r="X24" s="33">
        <f t="shared" si="4"/>
        <v>0.26478000000000002</v>
      </c>
      <c r="Y24" s="56">
        <v>7538.2</v>
      </c>
      <c r="Z24" s="33">
        <f t="shared" si="5"/>
        <v>0.5025466666666667</v>
      </c>
      <c r="AA24" s="55">
        <v>15000</v>
      </c>
      <c r="AB24" s="66">
        <v>0</v>
      </c>
      <c r="AC24" s="206">
        <f>AB24/AA24</f>
        <v>0</v>
      </c>
      <c r="AD24" s="202"/>
      <c r="AE24" s="280"/>
      <c r="AF24" s="62">
        <v>1975</v>
      </c>
      <c r="AG24" s="206">
        <f t="shared" si="6"/>
        <v>0.13166666666666665</v>
      </c>
      <c r="AH24" s="69">
        <v>15000</v>
      </c>
      <c r="AI24" s="267"/>
      <c r="AJ24" s="178">
        <f t="shared" si="7"/>
        <v>0</v>
      </c>
      <c r="AK24" s="268"/>
      <c r="AL24" s="179">
        <f t="shared" si="8"/>
        <v>0</v>
      </c>
      <c r="AM24" s="56">
        <v>0</v>
      </c>
      <c r="AN24" s="56">
        <f t="shared" si="13"/>
        <v>0</v>
      </c>
      <c r="AO24" s="179">
        <f t="shared" si="9"/>
        <v>0</v>
      </c>
      <c r="AP24" s="183"/>
      <c r="AQ24" s="281"/>
      <c r="AR24" s="56">
        <v>0</v>
      </c>
      <c r="AS24" s="348">
        <v>0</v>
      </c>
      <c r="AT24" s="351">
        <f>'[1]Current Account'!AH156</f>
        <v>206655.41000000003</v>
      </c>
      <c r="AU24" s="351">
        <v>0</v>
      </c>
      <c r="AV24" s="347"/>
      <c r="AW24" s="352">
        <v>0</v>
      </c>
      <c r="AX24" s="353"/>
      <c r="AY24" s="354">
        <v>0</v>
      </c>
      <c r="AZ24" s="352">
        <v>0</v>
      </c>
      <c r="BA24" s="353"/>
      <c r="BB24" s="365" t="s">
        <v>120</v>
      </c>
      <c r="BC24" s="359"/>
      <c r="BD24" s="360" t="s">
        <v>120</v>
      </c>
      <c r="BE24" s="425"/>
      <c r="BF24" s="350"/>
      <c r="BG24" s="375">
        <v>0</v>
      </c>
      <c r="BH24" s="434"/>
      <c r="BI24" s="376"/>
      <c r="BJ24" s="472">
        <f t="shared" si="0"/>
        <v>0</v>
      </c>
      <c r="BK24" s="473"/>
      <c r="BM24" s="349"/>
      <c r="BN24" s="438">
        <v>0</v>
      </c>
      <c r="BO24" s="478">
        <v>0</v>
      </c>
      <c r="BS24" s="238" t="s">
        <v>179</v>
      </c>
      <c r="BT24" s="241"/>
      <c r="BU24" s="241"/>
      <c r="BV24" s="241"/>
      <c r="BW24" s="243">
        <v>3574.19</v>
      </c>
      <c r="BX24" s="152"/>
      <c r="BY24" s="316" t="s">
        <v>276</v>
      </c>
      <c r="BZ24" s="317"/>
      <c r="CA24" s="317"/>
      <c r="CB24" s="482">
        <v>66500</v>
      </c>
      <c r="CC24" s="463"/>
    </row>
    <row r="25" spans="1:81" ht="30" customHeight="1" x14ac:dyDescent="0.3">
      <c r="A25" s="415" t="s">
        <v>77</v>
      </c>
      <c r="B25" s="61"/>
      <c r="C25" s="265"/>
      <c r="D25" s="276"/>
      <c r="E25" s="277"/>
      <c r="F25" s="277"/>
      <c r="G25" s="276"/>
      <c r="H25" s="277">
        <f>SUM(H4:H23)</f>
        <v>21210.55</v>
      </c>
      <c r="I25" s="61"/>
      <c r="J25" s="278"/>
      <c r="K25" s="279"/>
      <c r="L25" s="62"/>
      <c r="M25" s="63">
        <v>2410</v>
      </c>
      <c r="N25" s="62">
        <v>0</v>
      </c>
      <c r="O25" s="29">
        <v>0</v>
      </c>
      <c r="P25" s="95">
        <f t="shared" si="1"/>
        <v>0</v>
      </c>
      <c r="Q25" s="19"/>
      <c r="R25" s="53">
        <f t="shared" si="2"/>
        <v>0</v>
      </c>
      <c r="S25" s="205">
        <f>R25/M25</f>
        <v>0</v>
      </c>
      <c r="T25" s="55">
        <v>0</v>
      </c>
      <c r="U25" s="34">
        <f>500+2411+221.38</f>
        <v>3132.38</v>
      </c>
      <c r="V25" s="33" t="s">
        <v>78</v>
      </c>
      <c r="W25" s="34">
        <v>3132.38</v>
      </c>
      <c r="X25" s="33"/>
      <c r="Y25" s="56">
        <v>3133.38</v>
      </c>
      <c r="Z25" s="33"/>
      <c r="AA25" s="55">
        <v>3000</v>
      </c>
      <c r="AB25" s="66">
        <v>0</v>
      </c>
      <c r="AC25" s="206">
        <f>AB25/AA25</f>
        <v>0</v>
      </c>
      <c r="AD25" s="202" t="s">
        <v>79</v>
      </c>
      <c r="AE25" s="280"/>
      <c r="AF25" s="62">
        <v>500</v>
      </c>
      <c r="AG25" s="206">
        <f t="shared" si="6"/>
        <v>0.16666666666666666</v>
      </c>
      <c r="AH25" s="69">
        <v>3000</v>
      </c>
      <c r="AI25" s="267"/>
      <c r="AJ25" s="178">
        <f t="shared" si="7"/>
        <v>0</v>
      </c>
      <c r="AK25" s="268"/>
      <c r="AL25" s="179">
        <f t="shared" si="8"/>
        <v>0</v>
      </c>
      <c r="AM25" s="56">
        <v>0</v>
      </c>
      <c r="AN25" s="56">
        <f t="shared" si="13"/>
        <v>0</v>
      </c>
      <c r="AO25" s="179">
        <f t="shared" si="9"/>
        <v>0</v>
      </c>
      <c r="AP25" s="183"/>
      <c r="AQ25" s="281"/>
      <c r="AR25" s="56">
        <v>0</v>
      </c>
      <c r="AS25" s="348">
        <v>3000</v>
      </c>
      <c r="AT25" s="351">
        <f>'[1]Current Account'!AF156</f>
        <v>1590.04</v>
      </c>
      <c r="AU25" s="351">
        <v>736.91</v>
      </c>
      <c r="AV25" s="347">
        <f t="shared" si="10"/>
        <v>0.24563666666666667</v>
      </c>
      <c r="AW25" s="352">
        <v>179.91</v>
      </c>
      <c r="AX25" s="353">
        <f t="shared" si="11"/>
        <v>5.9969999999999996E-2</v>
      </c>
      <c r="AY25" s="354">
        <v>2000</v>
      </c>
      <c r="AZ25" s="352">
        <f>'[1]Current Account'!AF156</f>
        <v>1590.04</v>
      </c>
      <c r="BA25" s="353">
        <f t="shared" si="14"/>
        <v>0.79501999999999995</v>
      </c>
      <c r="BB25" s="356"/>
      <c r="BC25" s="354">
        <v>2000</v>
      </c>
      <c r="BD25" s="356"/>
      <c r="BE25" s="425">
        <v>1576.5</v>
      </c>
      <c r="BF25" s="350">
        <f>BM25/BC25</f>
        <v>2.1495E-2</v>
      </c>
      <c r="BG25" s="375">
        <v>2000</v>
      </c>
      <c r="BH25" s="434">
        <v>42.99</v>
      </c>
      <c r="BI25" s="376">
        <v>100</v>
      </c>
      <c r="BJ25" s="472">
        <f t="shared" si="0"/>
        <v>142.99</v>
      </c>
      <c r="BK25" s="473">
        <f t="shared" si="12"/>
        <v>7.1495000000000003E-2</v>
      </c>
      <c r="BM25" s="349">
        <f>'[2]Current Account'!AI172</f>
        <v>42.99</v>
      </c>
      <c r="BN25" s="438">
        <v>2000</v>
      </c>
      <c r="BO25" s="478">
        <v>2000</v>
      </c>
      <c r="BS25" s="229" t="s">
        <v>180</v>
      </c>
      <c r="BT25" s="230"/>
      <c r="BU25" s="230"/>
      <c r="BV25" s="230"/>
      <c r="BW25" s="231">
        <f>63770*3%+63770</f>
        <v>65683.100000000006</v>
      </c>
      <c r="BY25" s="316"/>
      <c r="BZ25" s="317"/>
      <c r="CA25" s="324"/>
      <c r="CB25" s="318"/>
      <c r="CC25" s="463"/>
    </row>
    <row r="26" spans="1:81" ht="30" customHeight="1" thickBot="1" x14ac:dyDescent="0.35">
      <c r="A26" s="415" t="s">
        <v>227</v>
      </c>
      <c r="B26" s="61"/>
      <c r="C26" s="265"/>
      <c r="D26" s="276"/>
      <c r="E26" s="277"/>
      <c r="F26" s="277"/>
      <c r="G26" s="276"/>
      <c r="H26" s="277"/>
      <c r="I26" s="61"/>
      <c r="J26" s="278"/>
      <c r="K26" s="279"/>
      <c r="L26" s="62"/>
      <c r="M26" s="63"/>
      <c r="N26" s="62"/>
      <c r="O26" s="29"/>
      <c r="P26" s="95"/>
      <c r="Q26" s="19"/>
      <c r="R26" s="53"/>
      <c r="S26" s="205"/>
      <c r="T26" s="55"/>
      <c r="U26" s="34"/>
      <c r="V26" s="33"/>
      <c r="W26" s="34"/>
      <c r="X26" s="33"/>
      <c r="Y26" s="56"/>
      <c r="Z26" s="33"/>
      <c r="AA26" s="55"/>
      <c r="AB26" s="66"/>
      <c r="AC26" s="206"/>
      <c r="AD26" s="202"/>
      <c r="AE26" s="280"/>
      <c r="AF26" s="62"/>
      <c r="AG26" s="206"/>
      <c r="AH26" s="69"/>
      <c r="AI26" s="267"/>
      <c r="AJ26" s="178"/>
      <c r="AK26" s="268"/>
      <c r="AL26" s="179"/>
      <c r="AM26" s="56"/>
      <c r="AN26" s="56"/>
      <c r="AO26" s="179"/>
      <c r="AP26" s="183"/>
      <c r="AQ26" s="281"/>
      <c r="AR26" s="56"/>
      <c r="AS26" s="348">
        <v>3000</v>
      </c>
      <c r="AT26" s="351">
        <f>'[1]Current Account'!AG156</f>
        <v>29.15</v>
      </c>
      <c r="AU26" s="351">
        <v>47</v>
      </c>
      <c r="AV26" s="347">
        <f t="shared" si="10"/>
        <v>1.5666666666666666E-2</v>
      </c>
      <c r="AW26" s="352">
        <v>95.54</v>
      </c>
      <c r="AX26" s="353">
        <f t="shared" si="11"/>
        <v>3.1846666666666669E-2</v>
      </c>
      <c r="AY26" s="354">
        <v>3000</v>
      </c>
      <c r="AZ26" s="352">
        <f>'[1]Current Account'!AG156</f>
        <v>29.15</v>
      </c>
      <c r="BA26" s="353">
        <f t="shared" si="14"/>
        <v>9.7166666666666669E-3</v>
      </c>
      <c r="BB26" s="356"/>
      <c r="BC26" s="354">
        <v>3000</v>
      </c>
      <c r="BD26" s="356" t="s">
        <v>214</v>
      </c>
      <c r="BE26" s="425">
        <v>1461.52</v>
      </c>
      <c r="BF26" s="350">
        <f>BM26/BC26</f>
        <v>0</v>
      </c>
      <c r="BG26" s="375">
        <v>1500</v>
      </c>
      <c r="BH26" s="434">
        <v>0</v>
      </c>
      <c r="BI26" s="376">
        <v>500</v>
      </c>
      <c r="BJ26" s="472">
        <f t="shared" si="0"/>
        <v>500</v>
      </c>
      <c r="BK26" s="473">
        <f t="shared" si="12"/>
        <v>0.33333333333333331</v>
      </c>
      <c r="BM26" s="349">
        <f>'[2]Current Account'!AJ172</f>
        <v>0</v>
      </c>
      <c r="BN26" s="438">
        <v>3000</v>
      </c>
      <c r="BO26" s="478">
        <v>3000</v>
      </c>
      <c r="BP26" s="159" t="s">
        <v>279</v>
      </c>
      <c r="BS26" s="229"/>
      <c r="BT26" s="230"/>
      <c r="BU26" s="230"/>
      <c r="BV26" s="230"/>
      <c r="BW26" s="249"/>
      <c r="BY26" s="335"/>
      <c r="BZ26" s="336"/>
      <c r="CA26" s="336"/>
      <c r="CB26" s="337">
        <f>SUM(CB18:CB24)</f>
        <v>246133.52000000002</v>
      </c>
      <c r="CC26" s="463"/>
    </row>
    <row r="27" spans="1:81" ht="30" customHeight="1" thickBot="1" x14ac:dyDescent="0.35">
      <c r="A27" s="415" t="s">
        <v>80</v>
      </c>
      <c r="B27" s="61"/>
      <c r="C27" s="265"/>
      <c r="D27" s="276"/>
      <c r="E27" s="277"/>
      <c r="F27" s="277"/>
      <c r="G27" s="276"/>
      <c r="H27" s="277">
        <v>3314.05</v>
      </c>
      <c r="I27" s="61"/>
      <c r="J27" s="278"/>
      <c r="K27" s="279"/>
      <c r="L27" s="62">
        <v>0</v>
      </c>
      <c r="M27" s="63"/>
      <c r="N27" s="62">
        <v>0</v>
      </c>
      <c r="O27" s="70">
        <v>0</v>
      </c>
      <c r="P27" s="95">
        <f t="shared" si="1"/>
        <v>0</v>
      </c>
      <c r="Q27" s="19"/>
      <c r="R27" s="53">
        <f t="shared" si="2"/>
        <v>0</v>
      </c>
      <c r="S27" s="205"/>
      <c r="T27" s="55">
        <v>0</v>
      </c>
      <c r="U27" s="34"/>
      <c r="V27" s="33"/>
      <c r="W27" s="34"/>
      <c r="X27" s="33"/>
      <c r="Y27" s="56"/>
      <c r="Z27" s="33"/>
      <c r="AA27" s="55"/>
      <c r="AB27" s="66"/>
      <c r="AC27" s="206"/>
      <c r="AD27" s="202"/>
      <c r="AE27" s="280"/>
      <c r="AF27" s="62"/>
      <c r="AG27" s="206"/>
      <c r="AH27" s="69"/>
      <c r="AI27" s="267"/>
      <c r="AJ27" s="178"/>
      <c r="AK27" s="268">
        <v>0</v>
      </c>
      <c r="AL27" s="179"/>
      <c r="AM27" s="56"/>
      <c r="AN27" s="56">
        <f t="shared" si="13"/>
        <v>0</v>
      </c>
      <c r="AO27" s="179"/>
      <c r="AP27" s="183"/>
      <c r="AQ27" s="281"/>
      <c r="AR27" s="56"/>
      <c r="AS27" s="348"/>
      <c r="AT27" s="351"/>
      <c r="AU27" s="351">
        <v>0</v>
      </c>
      <c r="AV27" s="347"/>
      <c r="AW27" s="352"/>
      <c r="AX27" s="353"/>
      <c r="AY27" s="354"/>
      <c r="AZ27" s="352">
        <v>0</v>
      </c>
      <c r="BA27" s="353"/>
      <c r="BB27" s="356"/>
      <c r="BC27" s="354"/>
      <c r="BD27" s="356"/>
      <c r="BE27" s="425"/>
      <c r="BF27" s="350"/>
      <c r="BG27" s="375"/>
      <c r="BH27" s="434"/>
      <c r="BI27" s="376"/>
      <c r="BJ27" s="472">
        <f t="shared" si="0"/>
        <v>0</v>
      </c>
      <c r="BK27" s="473"/>
      <c r="BM27" s="349"/>
      <c r="BN27" s="438"/>
      <c r="BO27" s="478"/>
      <c r="BS27" s="250"/>
      <c r="BT27" s="251"/>
      <c r="BU27" s="251"/>
      <c r="BV27" s="251"/>
      <c r="BW27" s="252">
        <f>SUM(BW23:BW25)</f>
        <v>654449.00999999978</v>
      </c>
      <c r="BY27" s="19"/>
      <c r="BZ27" s="19"/>
      <c r="CA27" s="19"/>
      <c r="CB27" s="19"/>
      <c r="CC27" s="458"/>
    </row>
    <row r="28" spans="1:81" ht="30" customHeight="1" thickTop="1" thickBot="1" x14ac:dyDescent="0.35">
      <c r="A28" s="415" t="s">
        <v>190</v>
      </c>
      <c r="B28" s="61"/>
      <c r="C28" s="265"/>
      <c r="D28" s="276"/>
      <c r="E28" s="277"/>
      <c r="F28" s="277"/>
      <c r="G28" s="276"/>
      <c r="H28" s="277"/>
      <c r="I28" s="61"/>
      <c r="J28" s="278"/>
      <c r="K28" s="279"/>
      <c r="L28" s="62"/>
      <c r="M28" s="200"/>
      <c r="N28" s="62"/>
      <c r="O28" s="70"/>
      <c r="P28" s="95"/>
      <c r="Q28" s="19"/>
      <c r="R28" s="53"/>
      <c r="S28" s="205"/>
      <c r="T28" s="55"/>
      <c r="U28" s="34"/>
      <c r="V28" s="33"/>
      <c r="W28" s="34"/>
      <c r="X28" s="33"/>
      <c r="Y28" s="56"/>
      <c r="Z28" s="33"/>
      <c r="AA28" s="55"/>
      <c r="AB28" s="66"/>
      <c r="AC28" s="206"/>
      <c r="AD28" s="202"/>
      <c r="AE28" s="280"/>
      <c r="AF28" s="62"/>
      <c r="AG28" s="206"/>
      <c r="AH28" s="69"/>
      <c r="AI28" s="267"/>
      <c r="AJ28" s="178"/>
      <c r="AK28" s="268"/>
      <c r="AL28" s="179"/>
      <c r="AM28" s="56"/>
      <c r="AN28" s="56"/>
      <c r="AO28" s="179"/>
      <c r="AP28" s="183"/>
      <c r="AQ28" s="281"/>
      <c r="AR28" s="56"/>
      <c r="AS28" s="348"/>
      <c r="AT28" s="351"/>
      <c r="AU28" s="351"/>
      <c r="AV28" s="347"/>
      <c r="AW28" s="352"/>
      <c r="AX28" s="353"/>
      <c r="AY28" s="354">
        <v>20500</v>
      </c>
      <c r="AZ28" s="352">
        <v>0</v>
      </c>
      <c r="BA28" s="353">
        <f t="shared" si="14"/>
        <v>0</v>
      </c>
      <c r="BB28" s="356"/>
      <c r="BC28" s="354">
        <v>20719.38</v>
      </c>
      <c r="BD28" s="356" t="s">
        <v>226</v>
      </c>
      <c r="BE28" s="425">
        <v>20719.38</v>
      </c>
      <c r="BF28" s="350">
        <f>BM28/BC28</f>
        <v>1</v>
      </c>
      <c r="BG28" s="375">
        <v>20720</v>
      </c>
      <c r="BH28" s="434">
        <v>20719.38</v>
      </c>
      <c r="BI28" s="376">
        <v>0</v>
      </c>
      <c r="BJ28" s="472">
        <f t="shared" si="0"/>
        <v>20719.38</v>
      </c>
      <c r="BK28" s="473">
        <f t="shared" si="12"/>
        <v>0.99997007722007725</v>
      </c>
      <c r="BM28" s="349">
        <v>20719.38</v>
      </c>
      <c r="BN28" s="438">
        <v>20720</v>
      </c>
      <c r="BO28" s="478">
        <v>20720</v>
      </c>
      <c r="BS28" s="253"/>
      <c r="BT28" s="254"/>
      <c r="BU28" s="254"/>
      <c r="BV28" s="254"/>
      <c r="BW28" s="255"/>
      <c r="BY28" s="19"/>
      <c r="BZ28" s="19"/>
      <c r="CA28" s="19"/>
      <c r="CB28" s="19"/>
      <c r="CC28" s="459"/>
    </row>
    <row r="29" spans="1:81" ht="30" customHeight="1" x14ac:dyDescent="0.3">
      <c r="A29" s="415" t="s">
        <v>185</v>
      </c>
      <c r="B29" s="61"/>
      <c r="C29" s="265"/>
      <c r="D29" s="276"/>
      <c r="E29" s="277"/>
      <c r="F29" s="277"/>
      <c r="G29" s="276"/>
      <c r="H29" s="277"/>
      <c r="I29" s="61"/>
      <c r="J29" s="278"/>
      <c r="K29" s="279"/>
      <c r="L29" s="62"/>
      <c r="M29" s="200"/>
      <c r="N29" s="62"/>
      <c r="O29" s="70"/>
      <c r="P29" s="95"/>
      <c r="Q29" s="19"/>
      <c r="R29" s="53"/>
      <c r="S29" s="205"/>
      <c r="T29" s="55"/>
      <c r="U29" s="34"/>
      <c r="V29" s="33"/>
      <c r="W29" s="34"/>
      <c r="X29" s="33"/>
      <c r="Y29" s="56"/>
      <c r="Z29" s="33"/>
      <c r="AA29" s="55"/>
      <c r="AB29" s="66"/>
      <c r="AC29" s="206"/>
      <c r="AD29" s="202"/>
      <c r="AE29" s="280"/>
      <c r="AF29" s="62"/>
      <c r="AG29" s="206"/>
      <c r="AH29" s="69"/>
      <c r="AI29" s="267"/>
      <c r="AJ29" s="178"/>
      <c r="AK29" s="268"/>
      <c r="AL29" s="179"/>
      <c r="AM29" s="56"/>
      <c r="AN29" s="56"/>
      <c r="AO29" s="179"/>
      <c r="AP29" s="183"/>
      <c r="AQ29" s="281"/>
      <c r="AR29" s="56"/>
      <c r="AS29" s="348"/>
      <c r="AT29" s="351"/>
      <c r="AU29" s="351"/>
      <c r="AV29" s="347"/>
      <c r="AW29" s="352"/>
      <c r="AX29" s="353"/>
      <c r="AY29" s="354">
        <v>5000</v>
      </c>
      <c r="AZ29" s="352"/>
      <c r="BA29" s="353">
        <f t="shared" si="14"/>
        <v>0</v>
      </c>
      <c r="BB29" s="365" t="s">
        <v>209</v>
      </c>
      <c r="BC29" s="359">
        <v>250</v>
      </c>
      <c r="BD29" s="360"/>
      <c r="BE29" s="425">
        <v>1005.75</v>
      </c>
      <c r="BF29" s="350">
        <f>BM29/BC29</f>
        <v>0</v>
      </c>
      <c r="BG29" s="375">
        <v>0</v>
      </c>
      <c r="BH29" s="434"/>
      <c r="BI29" s="376">
        <v>0</v>
      </c>
      <c r="BJ29" s="472">
        <v>0</v>
      </c>
      <c r="BK29" s="473"/>
      <c r="BM29" s="349"/>
      <c r="BN29" s="438">
        <v>2000</v>
      </c>
      <c r="BO29" s="478">
        <v>2000</v>
      </c>
      <c r="BP29" s="431" t="s">
        <v>285</v>
      </c>
    </row>
    <row r="30" spans="1:81" ht="30" customHeight="1" x14ac:dyDescent="0.3">
      <c r="A30" s="415" t="s">
        <v>184</v>
      </c>
      <c r="B30" s="61"/>
      <c r="C30" s="265"/>
      <c r="D30" s="276"/>
      <c r="E30" s="277"/>
      <c r="F30" s="277"/>
      <c r="G30" s="276"/>
      <c r="H30" s="277"/>
      <c r="I30" s="61"/>
      <c r="J30" s="278"/>
      <c r="K30" s="279"/>
      <c r="L30" s="62"/>
      <c r="M30" s="200"/>
      <c r="N30" s="62"/>
      <c r="O30" s="70"/>
      <c r="P30" s="95"/>
      <c r="Q30" s="19"/>
      <c r="R30" s="53"/>
      <c r="S30" s="205"/>
      <c r="T30" s="55"/>
      <c r="U30" s="34"/>
      <c r="V30" s="33"/>
      <c r="W30" s="34"/>
      <c r="X30" s="33"/>
      <c r="Y30" s="56"/>
      <c r="Z30" s="33"/>
      <c r="AA30" s="55"/>
      <c r="AB30" s="66"/>
      <c r="AC30" s="206"/>
      <c r="AD30" s="202"/>
      <c r="AE30" s="280"/>
      <c r="AF30" s="62"/>
      <c r="AG30" s="206"/>
      <c r="AH30" s="69"/>
      <c r="AI30" s="267"/>
      <c r="AJ30" s="178"/>
      <c r="AK30" s="268"/>
      <c r="AL30" s="179"/>
      <c r="AM30" s="56"/>
      <c r="AN30" s="56"/>
      <c r="AO30" s="179"/>
      <c r="AP30" s="183"/>
      <c r="AQ30" s="281"/>
      <c r="AR30" s="56"/>
      <c r="AS30" s="348"/>
      <c r="AT30" s="351"/>
      <c r="AU30" s="351"/>
      <c r="AV30" s="347"/>
      <c r="AW30" s="352"/>
      <c r="AX30" s="353"/>
      <c r="AY30" s="354"/>
      <c r="AZ30" s="352">
        <f>'[1]Current Account'!AD94</f>
        <v>500</v>
      </c>
      <c r="BA30" s="353"/>
      <c r="BB30" s="356"/>
      <c r="BC30" s="354">
        <v>500</v>
      </c>
      <c r="BD30" s="356"/>
      <c r="BE30" s="425"/>
      <c r="BF30" s="350">
        <f>BM30/BC30</f>
        <v>0</v>
      </c>
      <c r="BG30" s="375">
        <v>500</v>
      </c>
      <c r="BH30" s="434"/>
      <c r="BI30" s="376">
        <v>0</v>
      </c>
      <c r="BJ30" s="472">
        <f>BH30+BI30</f>
        <v>0</v>
      </c>
      <c r="BK30" s="473">
        <f t="shared" si="12"/>
        <v>0</v>
      </c>
      <c r="BM30" s="349"/>
      <c r="BN30" s="438">
        <v>500</v>
      </c>
      <c r="BO30" s="478">
        <v>500</v>
      </c>
    </row>
    <row r="31" spans="1:81" ht="30" customHeight="1" x14ac:dyDescent="0.3">
      <c r="A31" s="460" t="s">
        <v>268</v>
      </c>
      <c r="B31" s="61"/>
      <c r="C31" s="265"/>
      <c r="D31" s="276"/>
      <c r="E31" s="277"/>
      <c r="F31" s="277"/>
      <c r="G31" s="276"/>
      <c r="H31" s="277"/>
      <c r="I31" s="61"/>
      <c r="J31" s="278"/>
      <c r="K31" s="279"/>
      <c r="L31" s="62"/>
      <c r="M31" s="200"/>
      <c r="N31" s="62"/>
      <c r="O31" s="70"/>
      <c r="P31" s="95"/>
      <c r="Q31" s="19"/>
      <c r="R31" s="53"/>
      <c r="S31" s="205"/>
      <c r="T31" s="55"/>
      <c r="U31" s="34"/>
      <c r="V31" s="33"/>
      <c r="W31" s="34"/>
      <c r="X31" s="33"/>
      <c r="Y31" s="56"/>
      <c r="Z31" s="33"/>
      <c r="AA31" s="55"/>
      <c r="AB31" s="66"/>
      <c r="AC31" s="206"/>
      <c r="AD31" s="202"/>
      <c r="AE31" s="280"/>
      <c r="AF31" s="62"/>
      <c r="AG31" s="206"/>
      <c r="AH31" s="69"/>
      <c r="AI31" s="267"/>
      <c r="AJ31" s="178"/>
      <c r="AK31" s="268"/>
      <c r="AL31" s="179"/>
      <c r="AM31" s="56"/>
      <c r="AN31" s="56"/>
      <c r="AO31" s="179"/>
      <c r="AP31" s="183"/>
      <c r="AQ31" s="281"/>
      <c r="AR31" s="56"/>
      <c r="AS31" s="348"/>
      <c r="AT31" s="351"/>
      <c r="AU31" s="351"/>
      <c r="AV31" s="347"/>
      <c r="AW31" s="352"/>
      <c r="AX31" s="353"/>
      <c r="AY31" s="354"/>
      <c r="AZ31" s="352"/>
      <c r="BA31" s="353"/>
      <c r="BB31" s="356"/>
      <c r="BC31" s="354"/>
      <c r="BD31" s="356"/>
      <c r="BE31" s="425"/>
      <c r="BF31" s="350"/>
      <c r="BG31" s="375"/>
      <c r="BH31" s="434"/>
      <c r="BI31" s="376"/>
      <c r="BJ31" s="472">
        <f>BH31+BI31</f>
        <v>0</v>
      </c>
      <c r="BK31" s="473"/>
      <c r="BM31" s="349"/>
      <c r="BN31" s="438"/>
      <c r="BO31" s="478"/>
    </row>
    <row r="32" spans="1:81" ht="30" customHeight="1" x14ac:dyDescent="0.3">
      <c r="A32" s="415" t="s">
        <v>268</v>
      </c>
      <c r="B32" s="61"/>
      <c r="C32" s="265"/>
      <c r="D32" s="276"/>
      <c r="E32" s="277"/>
      <c r="F32" s="277"/>
      <c r="G32" s="276"/>
      <c r="H32" s="277"/>
      <c r="I32" s="61"/>
      <c r="J32" s="278"/>
      <c r="K32" s="279"/>
      <c r="L32" s="62"/>
      <c r="M32" s="200"/>
      <c r="N32" s="62"/>
      <c r="O32" s="70"/>
      <c r="P32" s="95"/>
      <c r="Q32" s="19"/>
      <c r="R32" s="53"/>
      <c r="S32" s="205"/>
      <c r="T32" s="55"/>
      <c r="U32" s="34"/>
      <c r="V32" s="33"/>
      <c r="W32" s="34"/>
      <c r="X32" s="33"/>
      <c r="Y32" s="56"/>
      <c r="Z32" s="33"/>
      <c r="AA32" s="55"/>
      <c r="AB32" s="66"/>
      <c r="AC32" s="206"/>
      <c r="AD32" s="202"/>
      <c r="AE32" s="280"/>
      <c r="AF32" s="62"/>
      <c r="AG32" s="206"/>
      <c r="AH32" s="69"/>
      <c r="AI32" s="267"/>
      <c r="AJ32" s="178"/>
      <c r="AK32" s="268"/>
      <c r="AL32" s="179"/>
      <c r="AM32" s="56"/>
      <c r="AN32" s="56"/>
      <c r="AO32" s="179"/>
      <c r="AP32" s="183"/>
      <c r="AQ32" s="281"/>
      <c r="AR32" s="56"/>
      <c r="AS32" s="348"/>
      <c r="AT32" s="351"/>
      <c r="AU32" s="351"/>
      <c r="AV32" s="347"/>
      <c r="AW32" s="352"/>
      <c r="AX32" s="353"/>
      <c r="AY32" s="354"/>
      <c r="AZ32" s="352"/>
      <c r="BA32" s="353"/>
      <c r="BB32" s="356"/>
      <c r="BC32" s="354"/>
      <c r="BD32" s="356"/>
      <c r="BE32" s="425"/>
      <c r="BF32" s="350"/>
      <c r="BG32" s="375"/>
      <c r="BH32" s="434"/>
      <c r="BI32" s="376"/>
      <c r="BJ32" s="472">
        <f>BH32+BI32</f>
        <v>0</v>
      </c>
      <c r="BK32" s="473"/>
      <c r="BM32" s="349"/>
      <c r="BN32" s="438"/>
      <c r="BO32" s="478"/>
    </row>
    <row r="33" spans="1:68" ht="30" customHeight="1" x14ac:dyDescent="0.3">
      <c r="A33" s="415" t="s">
        <v>268</v>
      </c>
      <c r="B33" s="61"/>
      <c r="C33" s="265"/>
      <c r="D33" s="276"/>
      <c r="E33" s="277"/>
      <c r="F33" s="277"/>
      <c r="G33" s="276"/>
      <c r="H33" s="277"/>
      <c r="I33" s="61"/>
      <c r="J33" s="278"/>
      <c r="K33" s="279"/>
      <c r="L33" s="62"/>
      <c r="M33" s="200"/>
      <c r="N33" s="62"/>
      <c r="O33" s="70"/>
      <c r="P33" s="95"/>
      <c r="Q33" s="19"/>
      <c r="R33" s="53"/>
      <c r="S33" s="205"/>
      <c r="T33" s="55"/>
      <c r="U33" s="34"/>
      <c r="V33" s="33"/>
      <c r="W33" s="34"/>
      <c r="X33" s="33"/>
      <c r="Y33" s="56"/>
      <c r="Z33" s="33"/>
      <c r="AA33" s="55"/>
      <c r="AB33" s="66"/>
      <c r="AC33" s="206"/>
      <c r="AD33" s="202"/>
      <c r="AE33" s="280"/>
      <c r="AF33" s="62"/>
      <c r="AG33" s="206"/>
      <c r="AH33" s="69"/>
      <c r="AI33" s="267"/>
      <c r="AJ33" s="178"/>
      <c r="AK33" s="268"/>
      <c r="AL33" s="179"/>
      <c r="AM33" s="56"/>
      <c r="AN33" s="56"/>
      <c r="AO33" s="179"/>
      <c r="AP33" s="183"/>
      <c r="AQ33" s="281"/>
      <c r="AR33" s="56"/>
      <c r="AS33" s="348"/>
      <c r="AT33" s="351"/>
      <c r="AU33" s="351"/>
      <c r="AV33" s="347"/>
      <c r="AW33" s="352"/>
      <c r="AX33" s="353"/>
      <c r="AY33" s="354"/>
      <c r="AZ33" s="352"/>
      <c r="BA33" s="353"/>
      <c r="BB33" s="356"/>
      <c r="BC33" s="354"/>
      <c r="BD33" s="356"/>
      <c r="BE33" s="426"/>
      <c r="BF33" s="350"/>
      <c r="BG33" s="375"/>
      <c r="BH33" s="434"/>
      <c r="BI33" s="377"/>
      <c r="BJ33" s="472">
        <f>BH33+BI33</f>
        <v>0</v>
      </c>
      <c r="BK33" s="473"/>
      <c r="BM33" s="366"/>
      <c r="BN33" s="438"/>
      <c r="BO33" s="478"/>
    </row>
    <row r="34" spans="1:68" ht="30" customHeight="1" x14ac:dyDescent="0.3">
      <c r="A34" s="415" t="s">
        <v>19</v>
      </c>
      <c r="B34" s="71">
        <f>SUM(B4:B22)</f>
        <v>20570.370000000003</v>
      </c>
      <c r="C34" s="265">
        <f>SUM(C4:C22)</f>
        <v>20840.669999999998</v>
      </c>
      <c r="D34" s="72">
        <f>SUM(D4:D22)</f>
        <v>21501</v>
      </c>
      <c r="E34" s="73">
        <f>SUM(E4:E22)</f>
        <v>21960.049999999996</v>
      </c>
      <c r="F34" s="73">
        <f>SUM(F4:F22)</f>
        <v>26571.39</v>
      </c>
      <c r="G34" s="72">
        <f>SUM(G4:G24)</f>
        <v>27833</v>
      </c>
      <c r="H34" s="73">
        <f>SUM(H4:H22) - H27</f>
        <v>17896.5</v>
      </c>
      <c r="I34" s="71">
        <f>SUM(I4:I24)</f>
        <v>28080</v>
      </c>
      <c r="J34" s="74">
        <f>SUM(J4:J24)</f>
        <v>28512.06</v>
      </c>
      <c r="K34" s="75">
        <f>SUM(K4:K24)</f>
        <v>30350</v>
      </c>
      <c r="L34" s="62">
        <f t="shared" ref="L34:U34" si="18">SUM(L4:L27)</f>
        <v>29358.829999999994</v>
      </c>
      <c r="M34" s="76">
        <f t="shared" si="18"/>
        <v>55485.9</v>
      </c>
      <c r="N34" s="62">
        <f t="shared" si="18"/>
        <v>47974.23</v>
      </c>
      <c r="O34" s="62">
        <f t="shared" si="18"/>
        <v>-1378.5100000000002</v>
      </c>
      <c r="P34" s="62">
        <f t="shared" si="18"/>
        <v>46595.720000000008</v>
      </c>
      <c r="Q34" s="62">
        <f t="shared" si="18"/>
        <v>370</v>
      </c>
      <c r="R34" s="62">
        <f t="shared" si="18"/>
        <v>46965.720000000008</v>
      </c>
      <c r="S34" s="62">
        <f t="shared" si="18"/>
        <v>15.840316358111961</v>
      </c>
      <c r="T34" s="42">
        <f t="shared" si="18"/>
        <v>75558</v>
      </c>
      <c r="U34" s="62">
        <f t="shared" si="18"/>
        <v>40137.349999999991</v>
      </c>
      <c r="V34" s="33">
        <f>U34/T34</f>
        <v>0.53121244606792117</v>
      </c>
      <c r="W34" s="34">
        <f>SUM(W3:W25)</f>
        <v>55665.919999999998</v>
      </c>
      <c r="X34" s="33">
        <f>W34/T34</f>
        <v>0.73673098811509041</v>
      </c>
      <c r="Y34" s="56">
        <f>SUM(Y4:Y27)</f>
        <v>66537.22</v>
      </c>
      <c r="Z34" s="33">
        <f t="shared" si="5"/>
        <v>0.88061118610868472</v>
      </c>
      <c r="AA34" s="55">
        <f>SUM(AA4:AA25)</f>
        <v>61330</v>
      </c>
      <c r="AB34" s="66">
        <f>SUM(AB4:AB27)</f>
        <v>12596.59</v>
      </c>
      <c r="AC34" s="206">
        <f>AB34/AA34</f>
        <v>0.20539034730148378</v>
      </c>
      <c r="AD34" s="202"/>
      <c r="AE34" s="280"/>
      <c r="AF34" s="65">
        <f>SUM(AF4:AF27)</f>
        <v>30370.3</v>
      </c>
      <c r="AG34" s="206">
        <f t="shared" si="6"/>
        <v>0.4951948475460623</v>
      </c>
      <c r="AH34" s="69">
        <f>SUM(AH4:AH27)</f>
        <v>56400</v>
      </c>
      <c r="AI34" s="267">
        <f>SUM(AI4:AI27)</f>
        <v>8878.07</v>
      </c>
      <c r="AJ34" s="178">
        <f t="shared" si="7"/>
        <v>0.15741258865248225</v>
      </c>
      <c r="AK34" s="268">
        <f>SUM(AK4:AK27)</f>
        <v>25381.27</v>
      </c>
      <c r="AL34" s="179">
        <f t="shared" si="8"/>
        <v>0.45002251773049645</v>
      </c>
      <c r="AM34" s="56">
        <f>SUM(AM4:AM27)</f>
        <v>9157.3499999999985</v>
      </c>
      <c r="AN34" s="56">
        <f>SUM(AN4:AN27)</f>
        <v>34538.620000000003</v>
      </c>
      <c r="AO34" s="179">
        <f t="shared" si="9"/>
        <v>0.61238687943262415</v>
      </c>
      <c r="AP34" s="183"/>
      <c r="AQ34" s="174">
        <f>SUM(AQ4:AQ27)</f>
        <v>0</v>
      </c>
      <c r="AR34" s="56">
        <f>SUM(AR4:AR27)</f>
        <v>39798.909999999996</v>
      </c>
      <c r="AS34" s="367">
        <f>SUM(AS4:AS27)</f>
        <v>47000</v>
      </c>
      <c r="AT34" s="368">
        <f>SUM(AT4:AT27)</f>
        <v>240547.26000000004</v>
      </c>
      <c r="AU34" s="368">
        <f>SUM(AU4:AU27)</f>
        <v>20549.87</v>
      </c>
      <c r="AV34" s="347">
        <f t="shared" si="10"/>
        <v>0.43723127659574468</v>
      </c>
      <c r="AW34" s="369">
        <f>SUM(AW4:AW30)</f>
        <v>30120.65</v>
      </c>
      <c r="AX34" s="347">
        <f t="shared" si="11"/>
        <v>0.64086489361702126</v>
      </c>
      <c r="AY34" s="370">
        <f>SUM(AY4:AY33)</f>
        <v>67130</v>
      </c>
      <c r="AZ34" s="369">
        <f>SUM(AZ4:AZ33)</f>
        <v>33945.840000000004</v>
      </c>
      <c r="BA34" s="347">
        <f t="shared" si="14"/>
        <v>0.50567317145836443</v>
      </c>
      <c r="BB34" s="355"/>
      <c r="BC34" s="359">
        <f>SUM(BC4:BC33)</f>
        <v>72640.180000000008</v>
      </c>
      <c r="BD34" s="359">
        <f>SUM(BD4:BD33)</f>
        <v>0</v>
      </c>
      <c r="BE34" s="427">
        <f>SUM(BE4:BE33)</f>
        <v>73695.06</v>
      </c>
      <c r="BF34" s="369"/>
      <c r="BG34" s="354">
        <f>SUM(BG4:BG30)</f>
        <v>78310</v>
      </c>
      <c r="BH34" s="352">
        <f>SUM(BH4:BH33)</f>
        <v>48838.070000000007</v>
      </c>
      <c r="BI34" s="451">
        <f>SUM(BI4:BI33)</f>
        <v>21645.846389999999</v>
      </c>
      <c r="BJ34" s="474">
        <f>SUM(BJ4:BJ33)</f>
        <v>70483.916389999984</v>
      </c>
      <c r="BK34" s="473">
        <f>BJ34/BG34</f>
        <v>0.90006278112629279</v>
      </c>
      <c r="BM34" s="371">
        <f>SUM(BM4:BM33)</f>
        <v>61168.130000000005</v>
      </c>
      <c r="BN34" s="439">
        <f>SUM(BN4:BN33)</f>
        <v>88846.94</v>
      </c>
      <c r="BO34" s="483">
        <f>SUM(BO4:BO33)</f>
        <v>88846.94</v>
      </c>
      <c r="BP34" s="431"/>
    </row>
    <row r="35" spans="1:68" ht="30" customHeight="1" x14ac:dyDescent="0.3">
      <c r="A35" s="415" t="s">
        <v>81</v>
      </c>
      <c r="B35" s="284">
        <v>25000</v>
      </c>
      <c r="C35" s="285"/>
      <c r="D35" s="77">
        <v>25000</v>
      </c>
      <c r="E35" s="78"/>
      <c r="F35" s="79">
        <v>25000</v>
      </c>
      <c r="G35" s="77">
        <v>28083</v>
      </c>
      <c r="H35" s="79">
        <v>28083</v>
      </c>
      <c r="I35" s="80">
        <v>29000</v>
      </c>
      <c r="J35" s="81">
        <v>29000</v>
      </c>
      <c r="K35" s="82" t="s">
        <v>55</v>
      </c>
      <c r="L35" s="83">
        <v>30350</v>
      </c>
      <c r="M35" s="84">
        <v>46050</v>
      </c>
      <c r="N35" s="62">
        <v>46050</v>
      </c>
      <c r="O35" s="19"/>
      <c r="P35" s="19"/>
      <c r="Q35" s="19"/>
      <c r="R35" s="283"/>
      <c r="S35" s="19"/>
      <c r="T35" s="42">
        <v>50655</v>
      </c>
      <c r="U35" s="286">
        <v>50655</v>
      </c>
      <c r="V35" s="33"/>
      <c r="W35" s="34">
        <v>50655</v>
      </c>
      <c r="X35" s="33"/>
      <c r="Y35" s="56">
        <v>50655</v>
      </c>
      <c r="Z35" s="33"/>
      <c r="AA35" s="85">
        <v>56490</v>
      </c>
      <c r="AB35" s="65">
        <v>56490</v>
      </c>
      <c r="AC35" s="38"/>
      <c r="AD35" s="287"/>
      <c r="AE35" s="19"/>
      <c r="AF35" s="62">
        <v>56490</v>
      </c>
      <c r="AG35" s="206"/>
      <c r="AH35" s="42">
        <v>58937</v>
      </c>
      <c r="AI35" s="263">
        <v>58937</v>
      </c>
      <c r="AJ35" s="178"/>
      <c r="AK35" s="62">
        <v>58937</v>
      </c>
      <c r="AL35" s="179"/>
      <c r="AM35" s="56"/>
      <c r="AN35" s="56">
        <v>58937</v>
      </c>
      <c r="AO35" s="179"/>
      <c r="AP35" s="183"/>
      <c r="AQ35" s="264"/>
      <c r="AR35" s="56">
        <v>58937</v>
      </c>
      <c r="AS35" s="372">
        <v>62000</v>
      </c>
      <c r="AT35" s="357">
        <v>62000</v>
      </c>
      <c r="AU35" s="357">
        <v>62000</v>
      </c>
      <c r="AV35" s="372"/>
      <c r="AW35" s="369">
        <v>62000</v>
      </c>
      <c r="AX35" s="347"/>
      <c r="AY35" s="372">
        <v>63770</v>
      </c>
      <c r="AZ35" s="357">
        <v>63770</v>
      </c>
      <c r="BA35" s="357"/>
      <c r="BB35" s="373"/>
      <c r="BC35" s="345">
        <v>65400</v>
      </c>
      <c r="BD35" s="345">
        <v>65400</v>
      </c>
      <c r="BE35" s="428">
        <v>65400</v>
      </c>
      <c r="BF35" s="357"/>
      <c r="BG35" s="378">
        <v>62000</v>
      </c>
      <c r="BH35" s="435">
        <v>62000</v>
      </c>
      <c r="BI35" s="374">
        <v>62000</v>
      </c>
      <c r="BJ35" s="428">
        <v>62000</v>
      </c>
      <c r="BK35" s="428">
        <v>62000</v>
      </c>
      <c r="BM35" s="374">
        <v>65400</v>
      </c>
      <c r="BN35" s="439">
        <v>65400</v>
      </c>
      <c r="BO35" s="479">
        <v>66500</v>
      </c>
    </row>
    <row r="36" spans="1:68" ht="30" customHeight="1" x14ac:dyDescent="0.3">
      <c r="A36" s="288" t="s">
        <v>55</v>
      </c>
      <c r="B36" s="19"/>
      <c r="C36" s="289"/>
      <c r="D36" s="67" t="s">
        <v>55</v>
      </c>
      <c r="F36" s="19"/>
      <c r="H36" s="19"/>
      <c r="L36" s="283"/>
      <c r="M36" s="193"/>
      <c r="N36" s="19"/>
      <c r="O36" s="19"/>
      <c r="P36" s="19"/>
      <c r="Q36" s="19"/>
      <c r="R36" s="283"/>
      <c r="S36" s="19"/>
      <c r="T36" s="193"/>
      <c r="U36" s="193"/>
      <c r="V36" s="193"/>
      <c r="W36" s="193"/>
      <c r="X36" s="193"/>
      <c r="Y36" s="256"/>
      <c r="Z36" s="193"/>
      <c r="AA36" s="193"/>
      <c r="AB36" s="283"/>
      <c r="AC36" s="283"/>
      <c r="AD36" s="193"/>
      <c r="AE36" s="19"/>
      <c r="AF36" s="19"/>
      <c r="AG36" s="290"/>
      <c r="AH36" s="256"/>
      <c r="AI36" s="259"/>
      <c r="AJ36" s="259"/>
      <c r="AK36" s="190"/>
      <c r="AL36" s="190"/>
      <c r="AM36" s="190"/>
      <c r="AN36" s="190"/>
      <c r="AO36" s="190"/>
      <c r="AP36" s="291"/>
      <c r="AQ36" s="256"/>
      <c r="AS36" s="193"/>
      <c r="AT36" s="193"/>
      <c r="AU36" s="193"/>
      <c r="AV36" s="193"/>
      <c r="AW36" s="193"/>
      <c r="AX36" s="193"/>
      <c r="AY36" s="256"/>
      <c r="AZ36" s="256"/>
      <c r="BA36" s="256"/>
      <c r="BB36" s="256"/>
      <c r="BC36" s="256"/>
      <c r="BD36" s="204"/>
    </row>
    <row r="37" spans="1:68" ht="30" customHeight="1" x14ac:dyDescent="0.3">
      <c r="A37" s="86"/>
      <c r="B37" s="19"/>
      <c r="C37" s="289"/>
      <c r="D37" s="67"/>
      <c r="F37" s="19"/>
      <c r="H37" s="19"/>
      <c r="L37" s="283"/>
      <c r="M37" s="193"/>
      <c r="N37" s="19"/>
      <c r="O37" s="19"/>
      <c r="P37" s="19"/>
      <c r="Q37" s="19"/>
      <c r="R37" s="283"/>
      <c r="S37" s="19"/>
      <c r="T37" s="193"/>
      <c r="U37" s="193"/>
      <c r="V37" s="193"/>
      <c r="W37" s="193"/>
      <c r="X37" s="193"/>
      <c r="Y37" s="256"/>
      <c r="Z37" s="193"/>
      <c r="AA37" s="193"/>
      <c r="AB37" s="283"/>
      <c r="AC37" s="283"/>
      <c r="AD37" s="193"/>
      <c r="AE37" s="19"/>
      <c r="AF37" s="19"/>
      <c r="AG37" s="290"/>
      <c r="AH37" s="256"/>
      <c r="AI37" s="259"/>
      <c r="AJ37" s="259"/>
      <c r="AK37" s="190"/>
      <c r="AL37" s="190"/>
      <c r="AM37" s="190"/>
      <c r="AN37" s="190"/>
      <c r="AO37" s="190"/>
      <c r="AP37" s="291"/>
      <c r="AQ37" s="256"/>
      <c r="AR37" s="190"/>
      <c r="AS37" s="193"/>
      <c r="AT37" s="193"/>
      <c r="AU37" s="193"/>
      <c r="AV37" s="193"/>
      <c r="AW37" s="292"/>
      <c r="AX37" s="193"/>
      <c r="AY37" s="264"/>
      <c r="AZ37" s="264"/>
      <c r="BA37" s="264"/>
      <c r="BB37" s="256"/>
      <c r="BC37" s="256"/>
      <c r="BD37" s="204"/>
    </row>
    <row r="38" spans="1:68" ht="30" customHeight="1" x14ac:dyDescent="0.3">
      <c r="A38" s="86"/>
      <c r="B38" s="19"/>
      <c r="C38" s="289"/>
      <c r="D38" s="67"/>
      <c r="F38" s="19"/>
      <c r="H38" s="19"/>
      <c r="L38" s="283"/>
      <c r="M38" s="193"/>
      <c r="N38" s="19"/>
      <c r="O38" s="19"/>
      <c r="P38" s="19"/>
      <c r="Q38" s="19"/>
      <c r="R38" s="283"/>
      <c r="S38" s="19"/>
      <c r="T38" s="193"/>
      <c r="U38" s="193"/>
      <c r="V38" s="193"/>
      <c r="W38" s="193"/>
      <c r="X38" s="193"/>
      <c r="Y38" s="256"/>
      <c r="Z38" s="193"/>
      <c r="AA38" s="193"/>
      <c r="AB38" s="283"/>
      <c r="AC38" s="283"/>
      <c r="AD38" s="193"/>
      <c r="AE38" s="19"/>
      <c r="AF38" s="19"/>
      <c r="AG38" s="290"/>
      <c r="AH38" s="256"/>
      <c r="AI38" s="259"/>
      <c r="AJ38" s="259"/>
      <c r="AK38" s="190"/>
      <c r="AL38" s="190"/>
      <c r="AM38" s="190"/>
      <c r="AN38" s="190"/>
      <c r="AO38" s="190"/>
      <c r="AP38" s="291"/>
      <c r="AQ38" s="256"/>
      <c r="AR38" s="190"/>
      <c r="AS38" s="193"/>
      <c r="AT38" s="193"/>
      <c r="AU38" s="193"/>
      <c r="AV38" s="193"/>
      <c r="AW38" s="193"/>
      <c r="AX38" s="193"/>
      <c r="AY38" s="256"/>
      <c r="AZ38" s="256"/>
      <c r="BA38" s="256"/>
      <c r="BB38" s="256"/>
      <c r="BC38" s="256"/>
      <c r="BD38" s="204"/>
    </row>
    <row r="39" spans="1:68" ht="30" customHeight="1" x14ac:dyDescent="0.3">
      <c r="A39" s="87"/>
      <c r="B39" s="88"/>
      <c r="C39" s="293"/>
      <c r="D39" s="92"/>
      <c r="N39" s="283"/>
      <c r="R39" s="283"/>
      <c r="S39" s="19"/>
      <c r="T39" s="193"/>
      <c r="U39" s="193"/>
      <c r="V39" s="193"/>
      <c r="AD39"/>
      <c r="AE39" s="91" t="s">
        <v>31</v>
      </c>
      <c r="AF39" s="19"/>
      <c r="AG39" s="290"/>
      <c r="AR39" s="190"/>
    </row>
    <row r="40" spans="1:68" ht="30" customHeight="1" x14ac:dyDescent="0.3">
      <c r="A40" s="19" t="s">
        <v>55</v>
      </c>
      <c r="B40" s="92"/>
      <c r="D40" s="92"/>
      <c r="AD40" s="6"/>
      <c r="AE40" s="93">
        <v>1365</v>
      </c>
    </row>
    <row r="41" spans="1:68" ht="30" customHeight="1" x14ac:dyDescent="0.3">
      <c r="A41" s="19" t="s">
        <v>55</v>
      </c>
      <c r="B41" s="92"/>
      <c r="D41" s="92"/>
      <c r="AD41" s="6"/>
      <c r="AE41" s="94">
        <v>774.17</v>
      </c>
    </row>
    <row r="42" spans="1:68" ht="30" customHeight="1" x14ac:dyDescent="0.3">
      <c r="A42" s="19"/>
      <c r="B42" s="92"/>
      <c r="C42" s="299"/>
      <c r="D42" s="92"/>
      <c r="AD42" s="6"/>
      <c r="AE42" s="95"/>
    </row>
    <row r="43" spans="1:68" ht="30" customHeight="1" x14ac:dyDescent="0.3">
      <c r="A43" s="19"/>
      <c r="B43" s="92"/>
      <c r="C43" s="299"/>
      <c r="D43" s="92"/>
      <c r="AD43" s="6"/>
      <c r="AE43" s="95"/>
    </row>
    <row r="44" spans="1:68" ht="30" customHeight="1" x14ac:dyDescent="0.3">
      <c r="A44" s="19"/>
      <c r="B44" s="299"/>
      <c r="C44" s="289" t="s">
        <v>55</v>
      </c>
      <c r="D44" s="19"/>
      <c r="AD44" s="6"/>
      <c r="AE44" s="96">
        <v>34.51</v>
      </c>
    </row>
    <row r="45" spans="1:68" ht="30" customHeight="1" x14ac:dyDescent="0.3">
      <c r="A45" s="19" t="s">
        <v>55</v>
      </c>
      <c r="B45" s="19"/>
      <c r="C45" s="289"/>
      <c r="D45" s="19"/>
      <c r="AD45" s="6"/>
      <c r="AE45" s="95"/>
    </row>
    <row r="46" spans="1:68" ht="30" customHeight="1" x14ac:dyDescent="0.3">
      <c r="A46" s="87"/>
      <c r="B46" s="19"/>
      <c r="AD46" s="6"/>
      <c r="AE46" s="97"/>
    </row>
    <row r="47" spans="1:68" ht="30" customHeight="1" x14ac:dyDescent="0.3">
      <c r="A47" s="87"/>
      <c r="B47" s="19"/>
      <c r="C47" s="300"/>
      <c r="L47" s="283"/>
      <c r="M47" s="193"/>
      <c r="R47"/>
      <c r="T47"/>
      <c r="U47"/>
      <c r="V47"/>
      <c r="W47"/>
      <c r="X47"/>
      <c r="Y47" s="89"/>
      <c r="Z47"/>
      <c r="AA47"/>
      <c r="AD47"/>
      <c r="AG47"/>
      <c r="AH47"/>
      <c r="AI47"/>
      <c r="AJ47"/>
      <c r="AK47"/>
      <c r="AL47"/>
      <c r="AM47"/>
      <c r="AN47"/>
      <c r="AO47"/>
      <c r="AP47" s="301"/>
      <c r="AQ47"/>
      <c r="AY47"/>
      <c r="AZ47"/>
      <c r="BA47"/>
      <c r="BB47"/>
      <c r="BC47"/>
      <c r="BD47" s="302"/>
    </row>
    <row r="48" spans="1:68" ht="30" customHeight="1" x14ac:dyDescent="0.3">
      <c r="B48" s="19"/>
      <c r="L48" s="283"/>
      <c r="M48" s="193"/>
      <c r="R48"/>
      <c r="T48"/>
      <c r="U48"/>
      <c r="V48"/>
      <c r="W48"/>
      <c r="X48"/>
      <c r="Y48" s="89"/>
      <c r="Z48"/>
      <c r="AA48"/>
      <c r="AD48"/>
      <c r="AR48"/>
    </row>
    <row r="49" spans="51:86" ht="30" customHeight="1" x14ac:dyDescent="0.3">
      <c r="AY49"/>
      <c r="AZ49"/>
      <c r="BA49"/>
      <c r="BB49"/>
      <c r="BC49"/>
      <c r="BD49" s="302"/>
      <c r="BX49" s="19"/>
      <c r="BY49" s="19"/>
      <c r="BZ49" s="19"/>
      <c r="CB49" s="19"/>
    </row>
    <row r="50" spans="51:86" ht="30" customHeight="1" x14ac:dyDescent="0.3">
      <c r="AY50"/>
      <c r="AZ50"/>
      <c r="BA50"/>
      <c r="BB50"/>
      <c r="BC50"/>
      <c r="BD50" s="302"/>
    </row>
    <row r="51" spans="51:86" ht="30" customHeight="1" x14ac:dyDescent="0.3">
      <c r="AY51"/>
      <c r="AZ51"/>
      <c r="BA51"/>
      <c r="BB51"/>
      <c r="BC51"/>
      <c r="BD51" s="302"/>
    </row>
    <row r="52" spans="51:86" ht="30" customHeight="1" x14ac:dyDescent="0.3">
      <c r="AY52"/>
      <c r="AZ52"/>
      <c r="BA52"/>
      <c r="BB52"/>
      <c r="BC52"/>
      <c r="BD52" s="302"/>
      <c r="BY52" s="165" t="s">
        <v>34</v>
      </c>
      <c r="BZ52" s="165" t="s">
        <v>36</v>
      </c>
      <c r="CA52" s="165"/>
      <c r="CB52" s="11" t="s">
        <v>42</v>
      </c>
      <c r="CC52" s="453"/>
      <c r="CD52" s="11" t="s">
        <v>82</v>
      </c>
      <c r="CE52" s="11" t="s">
        <v>50</v>
      </c>
      <c r="CF52" s="185" t="s">
        <v>154</v>
      </c>
      <c r="CG52" s="185" t="s">
        <v>177</v>
      </c>
      <c r="CH52" s="185" t="s">
        <v>211</v>
      </c>
    </row>
    <row r="53" spans="51:86" ht="30" customHeight="1" x14ac:dyDescent="0.3">
      <c r="AY53" s="172" t="s">
        <v>139</v>
      </c>
      <c r="AZ53" s="172"/>
      <c r="BA53" s="172"/>
      <c r="BB53" s="172"/>
      <c r="BC53" s="172"/>
      <c r="BD53" s="204"/>
      <c r="BY53" s="170">
        <v>1560</v>
      </c>
      <c r="BZ53" s="171"/>
      <c r="CA53" s="167"/>
      <c r="CB53" s="167">
        <v>620</v>
      </c>
      <c r="CC53" s="454"/>
      <c r="CD53" s="167">
        <v>210</v>
      </c>
      <c r="CE53" s="169">
        <v>0</v>
      </c>
      <c r="CF53" s="186">
        <v>0</v>
      </c>
      <c r="CG53" s="186">
        <v>0</v>
      </c>
      <c r="CH53" s="186">
        <v>0</v>
      </c>
    </row>
    <row r="54" spans="51:86" ht="30" customHeight="1" x14ac:dyDescent="0.3">
      <c r="AY54" s="172" t="s">
        <v>140</v>
      </c>
      <c r="AZ54" s="172"/>
      <c r="BA54" s="172"/>
      <c r="BB54" s="172"/>
      <c r="BC54" s="172"/>
      <c r="BD54" s="204"/>
      <c r="BY54" s="94">
        <v>795.95</v>
      </c>
      <c r="BZ54" s="95"/>
      <c r="CA54" s="303"/>
      <c r="CB54" s="303">
        <v>802.94</v>
      </c>
      <c r="CC54" s="455"/>
      <c r="CD54" s="303">
        <v>806.37</v>
      </c>
      <c r="CE54" s="29">
        <v>815.91</v>
      </c>
      <c r="CF54" s="187"/>
      <c r="CG54" s="187"/>
      <c r="CH54" s="187"/>
    </row>
    <row r="55" spans="51:86" ht="30" customHeight="1" x14ac:dyDescent="0.3">
      <c r="AY55" s="172"/>
      <c r="AZ55" s="172"/>
      <c r="BA55" s="172"/>
      <c r="BB55" s="172"/>
      <c r="BC55" s="172"/>
      <c r="BD55" s="204"/>
      <c r="BY55" s="95"/>
      <c r="BZ55" s="95"/>
      <c r="CA55" s="303"/>
      <c r="CB55" s="303"/>
      <c r="CC55" s="455"/>
      <c r="CD55" s="303"/>
      <c r="CE55" s="29"/>
      <c r="CF55" s="187"/>
      <c r="CG55" s="187"/>
      <c r="CH55" s="187"/>
    </row>
    <row r="56" spans="51:86" ht="30" customHeight="1" x14ac:dyDescent="0.3">
      <c r="AY56" s="172" t="s">
        <v>138</v>
      </c>
      <c r="AZ56" s="172"/>
      <c r="BA56" s="172"/>
      <c r="BB56" s="172"/>
      <c r="BC56" s="172"/>
      <c r="BD56" s="204"/>
      <c r="BY56" s="167">
        <v>34.51</v>
      </c>
      <c r="BZ56" s="168"/>
      <c r="CA56" s="167"/>
      <c r="CB56" s="167">
        <v>62.31</v>
      </c>
      <c r="CC56" s="454"/>
      <c r="CD56" s="167">
        <v>69.790000000000006</v>
      </c>
      <c r="CE56" s="169">
        <v>72.23</v>
      </c>
      <c r="CF56" s="186"/>
      <c r="CG56" s="186"/>
      <c r="CH56" s="186"/>
    </row>
    <row r="57" spans="51:86" ht="30" customHeight="1" x14ac:dyDescent="0.3">
      <c r="AY57" s="304" t="s">
        <v>148</v>
      </c>
      <c r="AZ57" s="304"/>
      <c r="BA57" s="304"/>
      <c r="BB57" s="304"/>
      <c r="BC57" s="304"/>
      <c r="BD57" s="204"/>
      <c r="BY57" s="168">
        <f>BY56*BY54</f>
        <v>27468.234499999999</v>
      </c>
      <c r="BZ57" s="166"/>
      <c r="CA57" s="95"/>
      <c r="CB57" s="305">
        <v>50035</v>
      </c>
      <c r="CC57" s="456"/>
      <c r="CD57" s="305">
        <v>56280</v>
      </c>
      <c r="CE57" s="29">
        <v>58937</v>
      </c>
      <c r="CF57" s="187">
        <v>62000</v>
      </c>
      <c r="CG57" s="187">
        <v>63770</v>
      </c>
      <c r="CH57" s="187"/>
    </row>
    <row r="58" spans="51:86" ht="30" customHeight="1" thickBot="1" x14ac:dyDescent="0.35">
      <c r="AY58" s="256"/>
      <c r="AZ58" s="256"/>
      <c r="BA58" s="256"/>
      <c r="BB58" s="256"/>
      <c r="BC58" s="256"/>
      <c r="BD58" s="204"/>
      <c r="BY58" s="306">
        <f>BY53+BY57</f>
        <v>29028.234499999999</v>
      </c>
      <c r="BZ58" s="306">
        <f>BZ53+BZ57</f>
        <v>0</v>
      </c>
      <c r="CA58" s="306"/>
      <c r="CB58" s="306">
        <f>CB53+CB57</f>
        <v>50655</v>
      </c>
      <c r="CC58" s="457"/>
      <c r="CD58" s="306">
        <f>CD53+CD57</f>
        <v>56490</v>
      </c>
      <c r="CE58" s="11">
        <v>58937</v>
      </c>
      <c r="CF58" s="185">
        <v>62000</v>
      </c>
      <c r="CG58" s="185">
        <v>63770</v>
      </c>
      <c r="CH58" s="185"/>
    </row>
    <row r="59" spans="51:86" ht="30" customHeight="1" thickTop="1" x14ac:dyDescent="0.3">
      <c r="AY59" s="256"/>
      <c r="AZ59" s="256"/>
      <c r="BA59" s="256"/>
      <c r="BB59" s="256"/>
      <c r="BC59" s="256"/>
      <c r="BD59" s="204"/>
      <c r="BE59" s="19"/>
      <c r="BF59" s="190"/>
      <c r="BI59" s="417"/>
      <c r="BJ59" s="417"/>
      <c r="BK59" s="417"/>
      <c r="BL59" s="462"/>
      <c r="BM59" s="408"/>
      <c r="BN59" s="414"/>
      <c r="BO59" s="414"/>
      <c r="BP59" s="430"/>
      <c r="BQ59" s="430"/>
      <c r="BR59" s="19"/>
      <c r="BS59" s="19"/>
    </row>
    <row r="60" spans="51:86" ht="30" customHeight="1" x14ac:dyDescent="0.3">
      <c r="AY60" s="256"/>
      <c r="AZ60" s="256"/>
      <c r="BA60" s="256"/>
      <c r="BB60" s="256"/>
      <c r="BC60" s="256"/>
      <c r="BD60" s="204"/>
      <c r="BE60" s="19"/>
      <c r="BF60" s="190"/>
      <c r="BI60" s="417"/>
      <c r="BJ60" s="417"/>
      <c r="BK60" s="417"/>
      <c r="BL60" s="462"/>
      <c r="BM60" s="408"/>
      <c r="BN60" s="414"/>
      <c r="BO60" s="414"/>
      <c r="BP60" s="430"/>
      <c r="BQ60" s="430"/>
      <c r="BR60" s="19"/>
      <c r="BS60" s="19"/>
      <c r="BT60" s="19"/>
      <c r="BU60" s="19"/>
      <c r="BV60" s="307"/>
      <c r="BW60" s="19"/>
      <c r="BX60" s="19"/>
      <c r="BY60" s="19"/>
      <c r="BZ60" s="19"/>
    </row>
    <row r="61" spans="51:86" ht="30" customHeight="1" x14ac:dyDescent="0.3">
      <c r="AY61" s="256"/>
      <c r="AZ61" s="256"/>
      <c r="BA61" s="256"/>
      <c r="BB61" s="256"/>
      <c r="BC61" s="256"/>
      <c r="BD61" s="204"/>
      <c r="BE61" s="19"/>
      <c r="BF61" s="190"/>
      <c r="BI61" s="417"/>
      <c r="BJ61" s="417"/>
      <c r="BK61" s="417"/>
      <c r="BL61" s="462"/>
      <c r="BM61" s="408"/>
      <c r="BN61" s="414"/>
      <c r="BO61" s="414"/>
      <c r="BP61" s="430"/>
      <c r="BQ61" s="430"/>
      <c r="BR61" s="19"/>
      <c r="BS61" s="19"/>
      <c r="BT61" s="19"/>
      <c r="BU61" s="19"/>
      <c r="BV61" s="307"/>
      <c r="BW61" s="19"/>
      <c r="BX61" s="19"/>
      <c r="BY61" s="19"/>
      <c r="BZ61" s="19"/>
    </row>
  </sheetData>
  <mergeCells count="1">
    <mergeCell ref="BP5:BP6"/>
  </mergeCells>
  <pageMargins left="0.70866141732283472" right="0.70866141732283472" top="0.74803149606299213" bottom="0.74803149606299213" header="0.31496062992125984" footer="0.31496062992125984"/>
  <pageSetup paperSize="9" scale="57" orientation="landscape" r:id="rId1"/>
  <headerFooter>
    <oddHeader>&amp;CWest Coker Parish Council
Total Budget including earmarked and contingency 2023/24</oddHeader>
    <oddFooter>&amp;LAuthor:  K Fullerton&amp;C&amp;P /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3E2E-2385-4E2A-9FC7-2DA28C15565F}">
  <dimension ref="A1"/>
  <sheetViews>
    <sheetView workbookViewId="0">
      <selection activeCell="J23" sqref="J23"/>
    </sheetView>
  </sheetViews>
  <sheetFormatPr defaultRowHeight="14.4" x14ac:dyDescent="0.3"/>
  <cols>
    <col min="1" max="1" width="7" customWidth="1"/>
    <col min="2" max="2" width="7.88671875" customWidth="1"/>
    <col min="3" max="3" width="11.44140625" customWidth="1"/>
    <col min="6" max="6" width="1.33203125" customWidth="1"/>
    <col min="8" max="8" width="1" customWidth="1"/>
    <col min="10" max="10" width="15.88671875" customWidth="1"/>
    <col min="13" max="13" width="1.44140625" customWidth="1"/>
    <col min="15" max="15" width="1.21875" customWidth="1"/>
    <col min="16" max="16" width="7.6640625" customWidth="1"/>
    <col min="17" max="17" width="18.44140625" bestFit="1" customWidth="1"/>
    <col min="18" max="18" width="7.109375" customWidth="1"/>
    <col min="19" max="19" width="6.21875" bestFit="1" customWidth="1"/>
    <col min="20" max="20" width="1.77734375" customWidth="1"/>
    <col min="21" max="21" width="7" bestFit="1" customWidth="1"/>
    <col min="22" max="22" width="1.44140625" customWidth="1"/>
    <col min="23" max="23" width="6.44140625" bestFit="1" customWidth="1"/>
    <col min="24" max="24" width="12.33203125" bestFit="1" customWidth="1"/>
    <col min="25" max="26" width="6.21875" bestFit="1" customWidth="1"/>
    <col min="27" max="27" width="1.21875" customWidth="1"/>
    <col min="28" max="28" width="6.77734375" bestFit="1" customWidth="1"/>
    <col min="29" max="29" width="1.6640625" customWidth="1"/>
    <col min="30" max="30" width="7" customWidth="1"/>
    <col min="31" max="31" width="13.44140625" customWidth="1"/>
    <col min="32" max="32" width="4.88671875" bestFit="1" customWidth="1"/>
    <col min="33" max="33" width="5" bestFit="1" customWidth="1"/>
    <col min="34" max="34" width="1.21875" customWidth="1"/>
    <col min="35" max="35" width="6.44140625" customWidth="1"/>
    <col min="37" max="37" width="9.77734375" bestFit="1" customWidth="1"/>
    <col min="38" max="38" width="7" bestFit="1" customWidth="1"/>
    <col min="39" max="39" width="2.44140625" customWidth="1"/>
  </cols>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M12"/>
  <sheetViews>
    <sheetView workbookViewId="0">
      <selection activeCell="F6" sqref="F6:G8"/>
    </sheetView>
  </sheetViews>
  <sheetFormatPr defaultRowHeight="14.4" x14ac:dyDescent="0.3"/>
  <cols>
    <col min="2" max="2" width="10.5546875" bestFit="1" customWidth="1"/>
    <col min="3" max="3" width="25.33203125" customWidth="1"/>
    <col min="4" max="4" width="16.6640625" customWidth="1"/>
    <col min="5" max="5" width="8.88671875" bestFit="1" customWidth="1"/>
    <col min="6" max="6" width="7.6640625" customWidth="1"/>
    <col min="7" max="7" width="8.88671875" bestFit="1" customWidth="1"/>
    <col min="8" max="8" width="17.5546875" customWidth="1"/>
    <col min="9" max="9" width="18.109375" customWidth="1"/>
    <col min="10" max="10" width="11.33203125" customWidth="1"/>
    <col min="11" max="11" width="12.33203125" customWidth="1"/>
    <col min="12" max="12" width="5" customWidth="1"/>
    <col min="13" max="13" width="16.109375" customWidth="1"/>
    <col min="262" max="262" width="12.88671875" customWidth="1"/>
    <col min="263" max="263" width="17.88671875" customWidth="1"/>
    <col min="264" max="264" width="2" customWidth="1"/>
    <col min="265" max="265" width="14.44140625" customWidth="1"/>
    <col min="266" max="266" width="1.88671875" customWidth="1"/>
    <col min="267" max="267" width="12.33203125" customWidth="1"/>
    <col min="268" max="268" width="5" customWidth="1"/>
    <col min="269" max="269" width="16.109375" customWidth="1"/>
    <col min="518" max="518" width="12.88671875" customWidth="1"/>
    <col min="519" max="519" width="17.88671875" customWidth="1"/>
    <col min="520" max="520" width="2" customWidth="1"/>
    <col min="521" max="521" width="14.44140625" customWidth="1"/>
    <col min="522" max="522" width="1.88671875" customWidth="1"/>
    <col min="523" max="523" width="12.33203125" customWidth="1"/>
    <col min="524" max="524" width="5" customWidth="1"/>
    <col min="525" max="525" width="16.109375" customWidth="1"/>
    <col min="774" max="774" width="12.88671875" customWidth="1"/>
    <col min="775" max="775" width="17.88671875" customWidth="1"/>
    <col min="776" max="776" width="2" customWidth="1"/>
    <col min="777" max="777" width="14.44140625" customWidth="1"/>
    <col min="778" max="778" width="1.88671875" customWidth="1"/>
    <col min="779" max="779" width="12.33203125" customWidth="1"/>
    <col min="780" max="780" width="5" customWidth="1"/>
    <col min="781" max="781" width="16.109375" customWidth="1"/>
    <col min="1030" max="1030" width="12.88671875" customWidth="1"/>
    <col min="1031" max="1031" width="17.88671875" customWidth="1"/>
    <col min="1032" max="1032" width="2" customWidth="1"/>
    <col min="1033" max="1033" width="14.44140625" customWidth="1"/>
    <col min="1034" max="1034" width="1.88671875" customWidth="1"/>
    <col min="1035" max="1035" width="12.33203125" customWidth="1"/>
    <col min="1036" max="1036" width="5" customWidth="1"/>
    <col min="1037" max="1037" width="16.109375" customWidth="1"/>
    <col min="1286" max="1286" width="12.88671875" customWidth="1"/>
    <col min="1287" max="1287" width="17.88671875" customWidth="1"/>
    <col min="1288" max="1288" width="2" customWidth="1"/>
    <col min="1289" max="1289" width="14.44140625" customWidth="1"/>
    <col min="1290" max="1290" width="1.88671875" customWidth="1"/>
    <col min="1291" max="1291" width="12.33203125" customWidth="1"/>
    <col min="1292" max="1292" width="5" customWidth="1"/>
    <col min="1293" max="1293" width="16.109375" customWidth="1"/>
    <col min="1542" max="1542" width="12.88671875" customWidth="1"/>
    <col min="1543" max="1543" width="17.88671875" customWidth="1"/>
    <col min="1544" max="1544" width="2" customWidth="1"/>
    <col min="1545" max="1545" width="14.44140625" customWidth="1"/>
    <col min="1546" max="1546" width="1.88671875" customWidth="1"/>
    <col min="1547" max="1547" width="12.33203125" customWidth="1"/>
    <col min="1548" max="1548" width="5" customWidth="1"/>
    <col min="1549" max="1549" width="16.109375" customWidth="1"/>
    <col min="1798" max="1798" width="12.88671875" customWidth="1"/>
    <col min="1799" max="1799" width="17.88671875" customWidth="1"/>
    <col min="1800" max="1800" width="2" customWidth="1"/>
    <col min="1801" max="1801" width="14.44140625" customWidth="1"/>
    <col min="1802" max="1802" width="1.88671875" customWidth="1"/>
    <col min="1803" max="1803" width="12.33203125" customWidth="1"/>
    <col min="1804" max="1804" width="5" customWidth="1"/>
    <col min="1805" max="1805" width="16.109375" customWidth="1"/>
    <col min="2054" max="2054" width="12.88671875" customWidth="1"/>
    <col min="2055" max="2055" width="17.88671875" customWidth="1"/>
    <col min="2056" max="2056" width="2" customWidth="1"/>
    <col min="2057" max="2057" width="14.44140625" customWidth="1"/>
    <col min="2058" max="2058" width="1.88671875" customWidth="1"/>
    <col min="2059" max="2059" width="12.33203125" customWidth="1"/>
    <col min="2060" max="2060" width="5" customWidth="1"/>
    <col min="2061" max="2061" width="16.109375" customWidth="1"/>
    <col min="2310" max="2310" width="12.88671875" customWidth="1"/>
    <col min="2311" max="2311" width="17.88671875" customWidth="1"/>
    <col min="2312" max="2312" width="2" customWidth="1"/>
    <col min="2313" max="2313" width="14.44140625" customWidth="1"/>
    <col min="2314" max="2314" width="1.88671875" customWidth="1"/>
    <col min="2315" max="2315" width="12.33203125" customWidth="1"/>
    <col min="2316" max="2316" width="5" customWidth="1"/>
    <col min="2317" max="2317" width="16.109375" customWidth="1"/>
    <col min="2566" max="2566" width="12.88671875" customWidth="1"/>
    <col min="2567" max="2567" width="17.88671875" customWidth="1"/>
    <col min="2568" max="2568" width="2" customWidth="1"/>
    <col min="2569" max="2569" width="14.44140625" customWidth="1"/>
    <col min="2570" max="2570" width="1.88671875" customWidth="1"/>
    <col min="2571" max="2571" width="12.33203125" customWidth="1"/>
    <col min="2572" max="2572" width="5" customWidth="1"/>
    <col min="2573" max="2573" width="16.109375" customWidth="1"/>
    <col min="2822" max="2822" width="12.88671875" customWidth="1"/>
    <col min="2823" max="2823" width="17.88671875" customWidth="1"/>
    <col min="2824" max="2824" width="2" customWidth="1"/>
    <col min="2825" max="2825" width="14.44140625" customWidth="1"/>
    <col min="2826" max="2826" width="1.88671875" customWidth="1"/>
    <col min="2827" max="2827" width="12.33203125" customWidth="1"/>
    <col min="2828" max="2828" width="5" customWidth="1"/>
    <col min="2829" max="2829" width="16.109375" customWidth="1"/>
    <col min="3078" max="3078" width="12.88671875" customWidth="1"/>
    <col min="3079" max="3079" width="17.88671875" customWidth="1"/>
    <col min="3080" max="3080" width="2" customWidth="1"/>
    <col min="3081" max="3081" width="14.44140625" customWidth="1"/>
    <col min="3082" max="3082" width="1.88671875" customWidth="1"/>
    <col min="3083" max="3083" width="12.33203125" customWidth="1"/>
    <col min="3084" max="3084" width="5" customWidth="1"/>
    <col min="3085" max="3085" width="16.109375" customWidth="1"/>
    <col min="3334" max="3334" width="12.88671875" customWidth="1"/>
    <col min="3335" max="3335" width="17.88671875" customWidth="1"/>
    <col min="3336" max="3336" width="2" customWidth="1"/>
    <col min="3337" max="3337" width="14.44140625" customWidth="1"/>
    <col min="3338" max="3338" width="1.88671875" customWidth="1"/>
    <col min="3339" max="3339" width="12.33203125" customWidth="1"/>
    <col min="3340" max="3340" width="5" customWidth="1"/>
    <col min="3341" max="3341" width="16.109375" customWidth="1"/>
    <col min="3590" max="3590" width="12.88671875" customWidth="1"/>
    <col min="3591" max="3591" width="17.88671875" customWidth="1"/>
    <col min="3592" max="3592" width="2" customWidth="1"/>
    <col min="3593" max="3593" width="14.44140625" customWidth="1"/>
    <col min="3594" max="3594" width="1.88671875" customWidth="1"/>
    <col min="3595" max="3595" width="12.33203125" customWidth="1"/>
    <col min="3596" max="3596" width="5" customWidth="1"/>
    <col min="3597" max="3597" width="16.109375" customWidth="1"/>
    <col min="3846" max="3846" width="12.88671875" customWidth="1"/>
    <col min="3847" max="3847" width="17.88671875" customWidth="1"/>
    <col min="3848" max="3848" width="2" customWidth="1"/>
    <col min="3849" max="3849" width="14.44140625" customWidth="1"/>
    <col min="3850" max="3850" width="1.88671875" customWidth="1"/>
    <col min="3851" max="3851" width="12.33203125" customWidth="1"/>
    <col min="3852" max="3852" width="5" customWidth="1"/>
    <col min="3853" max="3853" width="16.109375" customWidth="1"/>
    <col min="4102" max="4102" width="12.88671875" customWidth="1"/>
    <col min="4103" max="4103" width="17.88671875" customWidth="1"/>
    <col min="4104" max="4104" width="2" customWidth="1"/>
    <col min="4105" max="4105" width="14.44140625" customWidth="1"/>
    <col min="4106" max="4106" width="1.88671875" customWidth="1"/>
    <col min="4107" max="4107" width="12.33203125" customWidth="1"/>
    <col min="4108" max="4108" width="5" customWidth="1"/>
    <col min="4109" max="4109" width="16.109375" customWidth="1"/>
    <col min="4358" max="4358" width="12.88671875" customWidth="1"/>
    <col min="4359" max="4359" width="17.88671875" customWidth="1"/>
    <col min="4360" max="4360" width="2" customWidth="1"/>
    <col min="4361" max="4361" width="14.44140625" customWidth="1"/>
    <col min="4362" max="4362" width="1.88671875" customWidth="1"/>
    <col min="4363" max="4363" width="12.33203125" customWidth="1"/>
    <col min="4364" max="4364" width="5" customWidth="1"/>
    <col min="4365" max="4365" width="16.109375" customWidth="1"/>
    <col min="4614" max="4614" width="12.88671875" customWidth="1"/>
    <col min="4615" max="4615" width="17.88671875" customWidth="1"/>
    <col min="4616" max="4616" width="2" customWidth="1"/>
    <col min="4617" max="4617" width="14.44140625" customWidth="1"/>
    <col min="4618" max="4618" width="1.88671875" customWidth="1"/>
    <col min="4619" max="4619" width="12.33203125" customWidth="1"/>
    <col min="4620" max="4620" width="5" customWidth="1"/>
    <col min="4621" max="4621" width="16.109375" customWidth="1"/>
    <col min="4870" max="4870" width="12.88671875" customWidth="1"/>
    <col min="4871" max="4871" width="17.88671875" customWidth="1"/>
    <col min="4872" max="4872" width="2" customWidth="1"/>
    <col min="4873" max="4873" width="14.44140625" customWidth="1"/>
    <col min="4874" max="4874" width="1.88671875" customWidth="1"/>
    <col min="4875" max="4875" width="12.33203125" customWidth="1"/>
    <col min="4876" max="4876" width="5" customWidth="1"/>
    <col min="4877" max="4877" width="16.109375" customWidth="1"/>
    <col min="5126" max="5126" width="12.88671875" customWidth="1"/>
    <col min="5127" max="5127" width="17.88671875" customWidth="1"/>
    <col min="5128" max="5128" width="2" customWidth="1"/>
    <col min="5129" max="5129" width="14.44140625" customWidth="1"/>
    <col min="5130" max="5130" width="1.88671875" customWidth="1"/>
    <col min="5131" max="5131" width="12.33203125" customWidth="1"/>
    <col min="5132" max="5132" width="5" customWidth="1"/>
    <col min="5133" max="5133" width="16.109375" customWidth="1"/>
    <col min="5382" max="5382" width="12.88671875" customWidth="1"/>
    <col min="5383" max="5383" width="17.88671875" customWidth="1"/>
    <col min="5384" max="5384" width="2" customWidth="1"/>
    <col min="5385" max="5385" width="14.44140625" customWidth="1"/>
    <col min="5386" max="5386" width="1.88671875" customWidth="1"/>
    <col min="5387" max="5387" width="12.33203125" customWidth="1"/>
    <col min="5388" max="5388" width="5" customWidth="1"/>
    <col min="5389" max="5389" width="16.109375" customWidth="1"/>
    <col min="5638" max="5638" width="12.88671875" customWidth="1"/>
    <col min="5639" max="5639" width="17.88671875" customWidth="1"/>
    <col min="5640" max="5640" width="2" customWidth="1"/>
    <col min="5641" max="5641" width="14.44140625" customWidth="1"/>
    <col min="5642" max="5642" width="1.88671875" customWidth="1"/>
    <col min="5643" max="5643" width="12.33203125" customWidth="1"/>
    <col min="5644" max="5644" width="5" customWidth="1"/>
    <col min="5645" max="5645" width="16.109375" customWidth="1"/>
    <col min="5894" max="5894" width="12.88671875" customWidth="1"/>
    <col min="5895" max="5895" width="17.88671875" customWidth="1"/>
    <col min="5896" max="5896" width="2" customWidth="1"/>
    <col min="5897" max="5897" width="14.44140625" customWidth="1"/>
    <col min="5898" max="5898" width="1.88671875" customWidth="1"/>
    <col min="5899" max="5899" width="12.33203125" customWidth="1"/>
    <col min="5900" max="5900" width="5" customWidth="1"/>
    <col min="5901" max="5901" width="16.109375" customWidth="1"/>
    <col min="6150" max="6150" width="12.88671875" customWidth="1"/>
    <col min="6151" max="6151" width="17.88671875" customWidth="1"/>
    <col min="6152" max="6152" width="2" customWidth="1"/>
    <col min="6153" max="6153" width="14.44140625" customWidth="1"/>
    <col min="6154" max="6154" width="1.88671875" customWidth="1"/>
    <col min="6155" max="6155" width="12.33203125" customWidth="1"/>
    <col min="6156" max="6156" width="5" customWidth="1"/>
    <col min="6157" max="6157" width="16.109375" customWidth="1"/>
    <col min="6406" max="6406" width="12.88671875" customWidth="1"/>
    <col min="6407" max="6407" width="17.88671875" customWidth="1"/>
    <col min="6408" max="6408" width="2" customWidth="1"/>
    <col min="6409" max="6409" width="14.44140625" customWidth="1"/>
    <col min="6410" max="6410" width="1.88671875" customWidth="1"/>
    <col min="6411" max="6411" width="12.33203125" customWidth="1"/>
    <col min="6412" max="6412" width="5" customWidth="1"/>
    <col min="6413" max="6413" width="16.109375" customWidth="1"/>
    <col min="6662" max="6662" width="12.88671875" customWidth="1"/>
    <col min="6663" max="6663" width="17.88671875" customWidth="1"/>
    <col min="6664" max="6664" width="2" customWidth="1"/>
    <col min="6665" max="6665" width="14.44140625" customWidth="1"/>
    <col min="6666" max="6666" width="1.88671875" customWidth="1"/>
    <col min="6667" max="6667" width="12.33203125" customWidth="1"/>
    <col min="6668" max="6668" width="5" customWidth="1"/>
    <col min="6669" max="6669" width="16.109375" customWidth="1"/>
    <col min="6918" max="6918" width="12.88671875" customWidth="1"/>
    <col min="6919" max="6919" width="17.88671875" customWidth="1"/>
    <col min="6920" max="6920" width="2" customWidth="1"/>
    <col min="6921" max="6921" width="14.44140625" customWidth="1"/>
    <col min="6922" max="6922" width="1.88671875" customWidth="1"/>
    <col min="6923" max="6923" width="12.33203125" customWidth="1"/>
    <col min="6924" max="6924" width="5" customWidth="1"/>
    <col min="6925" max="6925" width="16.109375" customWidth="1"/>
    <col min="7174" max="7174" width="12.88671875" customWidth="1"/>
    <col min="7175" max="7175" width="17.88671875" customWidth="1"/>
    <col min="7176" max="7176" width="2" customWidth="1"/>
    <col min="7177" max="7177" width="14.44140625" customWidth="1"/>
    <col min="7178" max="7178" width="1.88671875" customWidth="1"/>
    <col min="7179" max="7179" width="12.33203125" customWidth="1"/>
    <col min="7180" max="7180" width="5" customWidth="1"/>
    <col min="7181" max="7181" width="16.109375" customWidth="1"/>
    <col min="7430" max="7430" width="12.88671875" customWidth="1"/>
    <col min="7431" max="7431" width="17.88671875" customWidth="1"/>
    <col min="7432" max="7432" width="2" customWidth="1"/>
    <col min="7433" max="7433" width="14.44140625" customWidth="1"/>
    <col min="7434" max="7434" width="1.88671875" customWidth="1"/>
    <col min="7435" max="7435" width="12.33203125" customWidth="1"/>
    <col min="7436" max="7436" width="5" customWidth="1"/>
    <col min="7437" max="7437" width="16.109375" customWidth="1"/>
    <col min="7686" max="7686" width="12.88671875" customWidth="1"/>
    <col min="7687" max="7687" width="17.88671875" customWidth="1"/>
    <col min="7688" max="7688" width="2" customWidth="1"/>
    <col min="7689" max="7689" width="14.44140625" customWidth="1"/>
    <col min="7690" max="7690" width="1.88671875" customWidth="1"/>
    <col min="7691" max="7691" width="12.33203125" customWidth="1"/>
    <col min="7692" max="7692" width="5" customWidth="1"/>
    <col min="7693" max="7693" width="16.109375" customWidth="1"/>
    <col min="7942" max="7942" width="12.88671875" customWidth="1"/>
    <col min="7943" max="7943" width="17.88671875" customWidth="1"/>
    <col min="7944" max="7944" width="2" customWidth="1"/>
    <col min="7945" max="7945" width="14.44140625" customWidth="1"/>
    <col min="7946" max="7946" width="1.88671875" customWidth="1"/>
    <col min="7947" max="7947" width="12.33203125" customWidth="1"/>
    <col min="7948" max="7948" width="5" customWidth="1"/>
    <col min="7949" max="7949" width="16.109375" customWidth="1"/>
    <col min="8198" max="8198" width="12.88671875" customWidth="1"/>
    <col min="8199" max="8199" width="17.88671875" customWidth="1"/>
    <col min="8200" max="8200" width="2" customWidth="1"/>
    <col min="8201" max="8201" width="14.44140625" customWidth="1"/>
    <col min="8202" max="8202" width="1.88671875" customWidth="1"/>
    <col min="8203" max="8203" width="12.33203125" customWidth="1"/>
    <col min="8204" max="8204" width="5" customWidth="1"/>
    <col min="8205" max="8205" width="16.109375" customWidth="1"/>
    <col min="8454" max="8454" width="12.88671875" customWidth="1"/>
    <col min="8455" max="8455" width="17.88671875" customWidth="1"/>
    <col min="8456" max="8456" width="2" customWidth="1"/>
    <col min="8457" max="8457" width="14.44140625" customWidth="1"/>
    <col min="8458" max="8458" width="1.88671875" customWidth="1"/>
    <col min="8459" max="8459" width="12.33203125" customWidth="1"/>
    <col min="8460" max="8460" width="5" customWidth="1"/>
    <col min="8461" max="8461" width="16.109375" customWidth="1"/>
    <col min="8710" max="8710" width="12.88671875" customWidth="1"/>
    <col min="8711" max="8711" width="17.88671875" customWidth="1"/>
    <col min="8712" max="8712" width="2" customWidth="1"/>
    <col min="8713" max="8713" width="14.44140625" customWidth="1"/>
    <col min="8714" max="8714" width="1.88671875" customWidth="1"/>
    <col min="8715" max="8715" width="12.33203125" customWidth="1"/>
    <col min="8716" max="8716" width="5" customWidth="1"/>
    <col min="8717" max="8717" width="16.109375" customWidth="1"/>
    <col min="8966" max="8966" width="12.88671875" customWidth="1"/>
    <col min="8967" max="8967" width="17.88671875" customWidth="1"/>
    <col min="8968" max="8968" width="2" customWidth="1"/>
    <col min="8969" max="8969" width="14.44140625" customWidth="1"/>
    <col min="8970" max="8970" width="1.88671875" customWidth="1"/>
    <col min="8971" max="8971" width="12.33203125" customWidth="1"/>
    <col min="8972" max="8972" width="5" customWidth="1"/>
    <col min="8973" max="8973" width="16.109375" customWidth="1"/>
    <col min="9222" max="9222" width="12.88671875" customWidth="1"/>
    <col min="9223" max="9223" width="17.88671875" customWidth="1"/>
    <col min="9224" max="9224" width="2" customWidth="1"/>
    <col min="9225" max="9225" width="14.44140625" customWidth="1"/>
    <col min="9226" max="9226" width="1.88671875" customWidth="1"/>
    <col min="9227" max="9227" width="12.33203125" customWidth="1"/>
    <col min="9228" max="9228" width="5" customWidth="1"/>
    <col min="9229" max="9229" width="16.109375" customWidth="1"/>
    <col min="9478" max="9478" width="12.88671875" customWidth="1"/>
    <col min="9479" max="9479" width="17.88671875" customWidth="1"/>
    <col min="9480" max="9480" width="2" customWidth="1"/>
    <col min="9481" max="9481" width="14.44140625" customWidth="1"/>
    <col min="9482" max="9482" width="1.88671875" customWidth="1"/>
    <col min="9483" max="9483" width="12.33203125" customWidth="1"/>
    <col min="9484" max="9484" width="5" customWidth="1"/>
    <col min="9485" max="9485" width="16.109375" customWidth="1"/>
    <col min="9734" max="9734" width="12.88671875" customWidth="1"/>
    <col min="9735" max="9735" width="17.88671875" customWidth="1"/>
    <col min="9736" max="9736" width="2" customWidth="1"/>
    <col min="9737" max="9737" width="14.44140625" customWidth="1"/>
    <col min="9738" max="9738" width="1.88671875" customWidth="1"/>
    <col min="9739" max="9739" width="12.33203125" customWidth="1"/>
    <col min="9740" max="9740" width="5" customWidth="1"/>
    <col min="9741" max="9741" width="16.109375" customWidth="1"/>
    <col min="9990" max="9990" width="12.88671875" customWidth="1"/>
    <col min="9991" max="9991" width="17.88671875" customWidth="1"/>
    <col min="9992" max="9992" width="2" customWidth="1"/>
    <col min="9993" max="9993" width="14.44140625" customWidth="1"/>
    <col min="9994" max="9994" width="1.88671875" customWidth="1"/>
    <col min="9995" max="9995" width="12.33203125" customWidth="1"/>
    <col min="9996" max="9996" width="5" customWidth="1"/>
    <col min="9997" max="9997" width="16.109375" customWidth="1"/>
    <col min="10246" max="10246" width="12.88671875" customWidth="1"/>
    <col min="10247" max="10247" width="17.88671875" customWidth="1"/>
    <col min="10248" max="10248" width="2" customWidth="1"/>
    <col min="10249" max="10249" width="14.44140625" customWidth="1"/>
    <col min="10250" max="10250" width="1.88671875" customWidth="1"/>
    <col min="10251" max="10251" width="12.33203125" customWidth="1"/>
    <col min="10252" max="10252" width="5" customWidth="1"/>
    <col min="10253" max="10253" width="16.109375" customWidth="1"/>
    <col min="10502" max="10502" width="12.88671875" customWidth="1"/>
    <col min="10503" max="10503" width="17.88671875" customWidth="1"/>
    <col min="10504" max="10504" width="2" customWidth="1"/>
    <col min="10505" max="10505" width="14.44140625" customWidth="1"/>
    <col min="10506" max="10506" width="1.88671875" customWidth="1"/>
    <col min="10507" max="10507" width="12.33203125" customWidth="1"/>
    <col min="10508" max="10508" width="5" customWidth="1"/>
    <col min="10509" max="10509" width="16.109375" customWidth="1"/>
    <col min="10758" max="10758" width="12.88671875" customWidth="1"/>
    <col min="10759" max="10759" width="17.88671875" customWidth="1"/>
    <col min="10760" max="10760" width="2" customWidth="1"/>
    <col min="10761" max="10761" width="14.44140625" customWidth="1"/>
    <col min="10762" max="10762" width="1.88671875" customWidth="1"/>
    <col min="10763" max="10763" width="12.33203125" customWidth="1"/>
    <col min="10764" max="10764" width="5" customWidth="1"/>
    <col min="10765" max="10765" width="16.109375" customWidth="1"/>
    <col min="11014" max="11014" width="12.88671875" customWidth="1"/>
    <col min="11015" max="11015" width="17.88671875" customWidth="1"/>
    <col min="11016" max="11016" width="2" customWidth="1"/>
    <col min="11017" max="11017" width="14.44140625" customWidth="1"/>
    <col min="11018" max="11018" width="1.88671875" customWidth="1"/>
    <col min="11019" max="11019" width="12.33203125" customWidth="1"/>
    <col min="11020" max="11020" width="5" customWidth="1"/>
    <col min="11021" max="11021" width="16.109375" customWidth="1"/>
    <col min="11270" max="11270" width="12.88671875" customWidth="1"/>
    <col min="11271" max="11271" width="17.88671875" customWidth="1"/>
    <col min="11272" max="11272" width="2" customWidth="1"/>
    <col min="11273" max="11273" width="14.44140625" customWidth="1"/>
    <col min="11274" max="11274" width="1.88671875" customWidth="1"/>
    <col min="11275" max="11275" width="12.33203125" customWidth="1"/>
    <col min="11276" max="11276" width="5" customWidth="1"/>
    <col min="11277" max="11277" width="16.109375" customWidth="1"/>
    <col min="11526" max="11526" width="12.88671875" customWidth="1"/>
    <col min="11527" max="11527" width="17.88671875" customWidth="1"/>
    <col min="11528" max="11528" width="2" customWidth="1"/>
    <col min="11529" max="11529" width="14.44140625" customWidth="1"/>
    <col min="11530" max="11530" width="1.88671875" customWidth="1"/>
    <col min="11531" max="11531" width="12.33203125" customWidth="1"/>
    <col min="11532" max="11532" width="5" customWidth="1"/>
    <col min="11533" max="11533" width="16.109375" customWidth="1"/>
    <col min="11782" max="11782" width="12.88671875" customWidth="1"/>
    <col min="11783" max="11783" width="17.88671875" customWidth="1"/>
    <col min="11784" max="11784" width="2" customWidth="1"/>
    <col min="11785" max="11785" width="14.44140625" customWidth="1"/>
    <col min="11786" max="11786" width="1.88671875" customWidth="1"/>
    <col min="11787" max="11787" width="12.33203125" customWidth="1"/>
    <col min="11788" max="11788" width="5" customWidth="1"/>
    <col min="11789" max="11789" width="16.109375" customWidth="1"/>
    <col min="12038" max="12038" width="12.88671875" customWidth="1"/>
    <col min="12039" max="12039" width="17.88671875" customWidth="1"/>
    <col min="12040" max="12040" width="2" customWidth="1"/>
    <col min="12041" max="12041" width="14.44140625" customWidth="1"/>
    <col min="12042" max="12042" width="1.88671875" customWidth="1"/>
    <col min="12043" max="12043" width="12.33203125" customWidth="1"/>
    <col min="12044" max="12044" width="5" customWidth="1"/>
    <col min="12045" max="12045" width="16.109375" customWidth="1"/>
    <col min="12294" max="12294" width="12.88671875" customWidth="1"/>
    <col min="12295" max="12295" width="17.88671875" customWidth="1"/>
    <col min="12296" max="12296" width="2" customWidth="1"/>
    <col min="12297" max="12297" width="14.44140625" customWidth="1"/>
    <col min="12298" max="12298" width="1.88671875" customWidth="1"/>
    <col min="12299" max="12299" width="12.33203125" customWidth="1"/>
    <col min="12300" max="12300" width="5" customWidth="1"/>
    <col min="12301" max="12301" width="16.109375" customWidth="1"/>
    <col min="12550" max="12550" width="12.88671875" customWidth="1"/>
    <col min="12551" max="12551" width="17.88671875" customWidth="1"/>
    <col min="12552" max="12552" width="2" customWidth="1"/>
    <col min="12553" max="12553" width="14.44140625" customWidth="1"/>
    <col min="12554" max="12554" width="1.88671875" customWidth="1"/>
    <col min="12555" max="12555" width="12.33203125" customWidth="1"/>
    <col min="12556" max="12556" width="5" customWidth="1"/>
    <col min="12557" max="12557" width="16.109375" customWidth="1"/>
    <col min="12806" max="12806" width="12.88671875" customWidth="1"/>
    <col min="12807" max="12807" width="17.88671875" customWidth="1"/>
    <col min="12808" max="12808" width="2" customWidth="1"/>
    <col min="12809" max="12809" width="14.44140625" customWidth="1"/>
    <col min="12810" max="12810" width="1.88671875" customWidth="1"/>
    <col min="12811" max="12811" width="12.33203125" customWidth="1"/>
    <col min="12812" max="12812" width="5" customWidth="1"/>
    <col min="12813" max="12813" width="16.109375" customWidth="1"/>
    <col min="13062" max="13062" width="12.88671875" customWidth="1"/>
    <col min="13063" max="13063" width="17.88671875" customWidth="1"/>
    <col min="13064" max="13064" width="2" customWidth="1"/>
    <col min="13065" max="13065" width="14.44140625" customWidth="1"/>
    <col min="13066" max="13066" width="1.88671875" customWidth="1"/>
    <col min="13067" max="13067" width="12.33203125" customWidth="1"/>
    <col min="13068" max="13068" width="5" customWidth="1"/>
    <col min="13069" max="13069" width="16.109375" customWidth="1"/>
    <col min="13318" max="13318" width="12.88671875" customWidth="1"/>
    <col min="13319" max="13319" width="17.88671875" customWidth="1"/>
    <col min="13320" max="13320" width="2" customWidth="1"/>
    <col min="13321" max="13321" width="14.44140625" customWidth="1"/>
    <col min="13322" max="13322" width="1.88671875" customWidth="1"/>
    <col min="13323" max="13323" width="12.33203125" customWidth="1"/>
    <col min="13324" max="13324" width="5" customWidth="1"/>
    <col min="13325" max="13325" width="16.109375" customWidth="1"/>
    <col min="13574" max="13574" width="12.88671875" customWidth="1"/>
    <col min="13575" max="13575" width="17.88671875" customWidth="1"/>
    <col min="13576" max="13576" width="2" customWidth="1"/>
    <col min="13577" max="13577" width="14.44140625" customWidth="1"/>
    <col min="13578" max="13578" width="1.88671875" customWidth="1"/>
    <col min="13579" max="13579" width="12.33203125" customWidth="1"/>
    <col min="13580" max="13580" width="5" customWidth="1"/>
    <col min="13581" max="13581" width="16.109375" customWidth="1"/>
    <col min="13830" max="13830" width="12.88671875" customWidth="1"/>
    <col min="13831" max="13831" width="17.88671875" customWidth="1"/>
    <col min="13832" max="13832" width="2" customWidth="1"/>
    <col min="13833" max="13833" width="14.44140625" customWidth="1"/>
    <col min="13834" max="13834" width="1.88671875" customWidth="1"/>
    <col min="13835" max="13835" width="12.33203125" customWidth="1"/>
    <col min="13836" max="13836" width="5" customWidth="1"/>
    <col min="13837" max="13837" width="16.109375" customWidth="1"/>
    <col min="14086" max="14086" width="12.88671875" customWidth="1"/>
    <col min="14087" max="14087" width="17.88671875" customWidth="1"/>
    <col min="14088" max="14088" width="2" customWidth="1"/>
    <col min="14089" max="14089" width="14.44140625" customWidth="1"/>
    <col min="14090" max="14090" width="1.88671875" customWidth="1"/>
    <col min="14091" max="14091" width="12.33203125" customWidth="1"/>
    <col min="14092" max="14092" width="5" customWidth="1"/>
    <col min="14093" max="14093" width="16.109375" customWidth="1"/>
    <col min="14342" max="14342" width="12.88671875" customWidth="1"/>
    <col min="14343" max="14343" width="17.88671875" customWidth="1"/>
    <col min="14344" max="14344" width="2" customWidth="1"/>
    <col min="14345" max="14345" width="14.44140625" customWidth="1"/>
    <col min="14346" max="14346" width="1.88671875" customWidth="1"/>
    <col min="14347" max="14347" width="12.33203125" customWidth="1"/>
    <col min="14348" max="14348" width="5" customWidth="1"/>
    <col min="14349" max="14349" width="16.109375" customWidth="1"/>
    <col min="14598" max="14598" width="12.88671875" customWidth="1"/>
    <col min="14599" max="14599" width="17.88671875" customWidth="1"/>
    <col min="14600" max="14600" width="2" customWidth="1"/>
    <col min="14601" max="14601" width="14.44140625" customWidth="1"/>
    <col min="14602" max="14602" width="1.88671875" customWidth="1"/>
    <col min="14603" max="14603" width="12.33203125" customWidth="1"/>
    <col min="14604" max="14604" width="5" customWidth="1"/>
    <col min="14605" max="14605" width="16.109375" customWidth="1"/>
    <col min="14854" max="14854" width="12.88671875" customWidth="1"/>
    <col min="14855" max="14855" width="17.88671875" customWidth="1"/>
    <col min="14856" max="14856" width="2" customWidth="1"/>
    <col min="14857" max="14857" width="14.44140625" customWidth="1"/>
    <col min="14858" max="14858" width="1.88671875" customWidth="1"/>
    <col min="14859" max="14859" width="12.33203125" customWidth="1"/>
    <col min="14860" max="14860" width="5" customWidth="1"/>
    <col min="14861" max="14861" width="16.109375" customWidth="1"/>
    <col min="15110" max="15110" width="12.88671875" customWidth="1"/>
    <col min="15111" max="15111" width="17.88671875" customWidth="1"/>
    <col min="15112" max="15112" width="2" customWidth="1"/>
    <col min="15113" max="15113" width="14.44140625" customWidth="1"/>
    <col min="15114" max="15114" width="1.88671875" customWidth="1"/>
    <col min="15115" max="15115" width="12.33203125" customWidth="1"/>
    <col min="15116" max="15116" width="5" customWidth="1"/>
    <col min="15117" max="15117" width="16.109375" customWidth="1"/>
    <col min="15366" max="15366" width="12.88671875" customWidth="1"/>
    <col min="15367" max="15367" width="17.88671875" customWidth="1"/>
    <col min="15368" max="15368" width="2" customWidth="1"/>
    <col min="15369" max="15369" width="14.44140625" customWidth="1"/>
    <col min="15370" max="15370" width="1.88671875" customWidth="1"/>
    <col min="15371" max="15371" width="12.33203125" customWidth="1"/>
    <col min="15372" max="15372" width="5" customWidth="1"/>
    <col min="15373" max="15373" width="16.109375" customWidth="1"/>
    <col min="15622" max="15622" width="12.88671875" customWidth="1"/>
    <col min="15623" max="15623" width="17.88671875" customWidth="1"/>
    <col min="15624" max="15624" width="2" customWidth="1"/>
    <col min="15625" max="15625" width="14.44140625" customWidth="1"/>
    <col min="15626" max="15626" width="1.88671875" customWidth="1"/>
    <col min="15627" max="15627" width="12.33203125" customWidth="1"/>
    <col min="15628" max="15628" width="5" customWidth="1"/>
    <col min="15629" max="15629" width="16.109375" customWidth="1"/>
    <col min="15878" max="15878" width="12.88671875" customWidth="1"/>
    <col min="15879" max="15879" width="17.88671875" customWidth="1"/>
    <col min="15880" max="15880" width="2" customWidth="1"/>
    <col min="15881" max="15881" width="14.44140625" customWidth="1"/>
    <col min="15882" max="15882" width="1.88671875" customWidth="1"/>
    <col min="15883" max="15883" width="12.33203125" customWidth="1"/>
    <col min="15884" max="15884" width="5" customWidth="1"/>
    <col min="15885" max="15885" width="16.109375" customWidth="1"/>
    <col min="16134" max="16134" width="12.88671875" customWidth="1"/>
    <col min="16135" max="16135" width="17.88671875" customWidth="1"/>
    <col min="16136" max="16136" width="2" customWidth="1"/>
    <col min="16137" max="16137" width="14.44140625" customWidth="1"/>
    <col min="16138" max="16138" width="1.88671875" customWidth="1"/>
    <col min="16139" max="16139" width="12.33203125" customWidth="1"/>
    <col min="16140" max="16140" width="5" customWidth="1"/>
    <col min="16141" max="16141" width="16.109375" customWidth="1"/>
  </cols>
  <sheetData>
    <row r="2" spans="1:13" x14ac:dyDescent="0.3">
      <c r="C2" t="s">
        <v>124</v>
      </c>
      <c r="D2" s="152"/>
    </row>
    <row r="3" spans="1:13" x14ac:dyDescent="0.3">
      <c r="C3" t="s">
        <v>123</v>
      </c>
      <c r="D3" s="152"/>
    </row>
    <row r="5" spans="1:13" x14ac:dyDescent="0.3">
      <c r="A5" t="s">
        <v>143</v>
      </c>
      <c r="B5" t="s">
        <v>84</v>
      </c>
      <c r="C5" t="s">
        <v>121</v>
      </c>
      <c r="D5" t="s">
        <v>19</v>
      </c>
      <c r="E5" t="s">
        <v>122</v>
      </c>
      <c r="F5" t="s">
        <v>199</v>
      </c>
      <c r="G5" t="s">
        <v>197</v>
      </c>
      <c r="H5" t="s">
        <v>142</v>
      </c>
      <c r="I5" t="s">
        <v>198</v>
      </c>
    </row>
    <row r="6" spans="1:13" x14ac:dyDescent="0.3">
      <c r="A6" s="3">
        <v>1</v>
      </c>
      <c r="B6" s="152"/>
      <c r="D6" s="151"/>
      <c r="E6" s="151">
        <v>0</v>
      </c>
      <c r="F6" s="151"/>
      <c r="G6" s="151"/>
      <c r="H6" s="151"/>
      <c r="I6" s="151"/>
    </row>
    <row r="7" spans="1:13" x14ac:dyDescent="0.3">
      <c r="A7" s="3">
        <v>2</v>
      </c>
      <c r="B7" s="152"/>
      <c r="D7" s="151"/>
      <c r="E7" s="151">
        <v>0</v>
      </c>
      <c r="F7" s="151"/>
      <c r="G7" s="151"/>
      <c r="H7" s="151"/>
      <c r="I7" s="151"/>
    </row>
    <row r="8" spans="1:13" x14ac:dyDescent="0.3">
      <c r="A8" s="3"/>
      <c r="B8" s="152"/>
      <c r="D8" s="151"/>
      <c r="E8" s="151">
        <v>0</v>
      </c>
      <c r="F8" s="151"/>
      <c r="G8" s="151"/>
      <c r="H8" s="151"/>
      <c r="I8" s="151"/>
    </row>
    <row r="9" spans="1:13" ht="15" thickBot="1" x14ac:dyDescent="0.35">
      <c r="D9" s="154">
        <f t="shared" ref="D9:I9" si="0">SUM(D6:D8)</f>
        <v>0</v>
      </c>
      <c r="E9" s="154">
        <f t="shared" si="0"/>
        <v>0</v>
      </c>
      <c r="F9" s="154">
        <f t="shared" si="0"/>
        <v>0</v>
      </c>
      <c r="G9" s="154">
        <f t="shared" si="0"/>
        <v>0</v>
      </c>
      <c r="H9" s="154">
        <f t="shared" si="0"/>
        <v>0</v>
      </c>
      <c r="I9" s="154">
        <f t="shared" si="0"/>
        <v>0</v>
      </c>
    </row>
    <row r="10" spans="1:13" ht="15" thickTop="1" x14ac:dyDescent="0.3">
      <c r="J10" s="159" t="s">
        <v>90</v>
      </c>
      <c r="K10" s="159">
        <f>SUM(E9:I9)</f>
        <v>0</v>
      </c>
    </row>
    <row r="11" spans="1:13" x14ac:dyDescent="0.3">
      <c r="E11" s="158"/>
      <c r="F11" s="158"/>
      <c r="G11" s="158"/>
      <c r="H11" s="158"/>
      <c r="I11" s="158"/>
      <c r="J11" s="158"/>
      <c r="K11" s="158"/>
      <c r="L11" s="158"/>
      <c r="M11" s="158"/>
    </row>
    <row r="12" spans="1:13" x14ac:dyDescent="0.3">
      <c r="J12" s="155"/>
      <c r="K12" s="162"/>
      <c r="L12" s="162"/>
      <c r="M12" s="163"/>
    </row>
  </sheetData>
  <pageMargins left="0.7" right="0.7" top="0.75" bottom="0.75" header="0.3" footer="0.3"/>
  <pageSetup paperSize="9" scale="8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5414-7ECD-45ED-AC0F-9EF103D752A3}">
  <sheetPr>
    <pageSetUpPr fitToPage="1"/>
  </sheetPr>
  <dimension ref="A1:P393"/>
  <sheetViews>
    <sheetView workbookViewId="0">
      <selection activeCell="V18" sqref="V18"/>
    </sheetView>
  </sheetViews>
  <sheetFormatPr defaultColWidth="11" defaultRowHeight="15" x14ac:dyDescent="0.25"/>
  <cols>
    <col min="1" max="1" width="5.5546875" style="643" customWidth="1"/>
    <col min="2" max="2" width="7.109375" style="643" customWidth="1"/>
    <col min="3" max="3" width="11.6640625" style="643" customWidth="1"/>
    <col min="4" max="4" width="9.5546875" style="643" customWidth="1"/>
    <col min="5" max="5" width="11.5546875" style="643" customWidth="1"/>
    <col min="6" max="7" width="8.109375" style="643" customWidth="1"/>
    <col min="8" max="8" width="6.5546875" style="643" customWidth="1"/>
    <col min="9" max="9" width="10" style="643" customWidth="1"/>
    <col min="10" max="15" width="8.109375" style="643" customWidth="1"/>
    <col min="16" max="16" width="5.33203125" style="643" customWidth="1"/>
    <col min="17" max="16384" width="11" style="643"/>
  </cols>
  <sheetData>
    <row r="1" spans="1:16" s="638" customFormat="1" ht="21" x14ac:dyDescent="0.4">
      <c r="A1" s="1016" t="s">
        <v>897</v>
      </c>
      <c r="B1" s="1017"/>
      <c r="C1" s="1017"/>
      <c r="D1" s="1017"/>
      <c r="E1" s="1017"/>
      <c r="F1" s="1017"/>
      <c r="G1" s="1017"/>
      <c r="H1" s="1017"/>
      <c r="I1" s="1017"/>
      <c r="J1" s="1017"/>
      <c r="K1" s="1017"/>
      <c r="L1" s="1017"/>
      <c r="M1" s="1017"/>
      <c r="N1" s="1017"/>
      <c r="O1" s="1017"/>
      <c r="P1" s="1017"/>
    </row>
    <row r="2" spans="1:16" s="638" customFormat="1" ht="21" x14ac:dyDescent="0.4">
      <c r="A2" s="1018" t="s">
        <v>300</v>
      </c>
      <c r="B2" s="1018"/>
      <c r="C2" s="1018"/>
      <c r="D2" s="1018"/>
      <c r="E2" s="1018"/>
      <c r="F2" s="1018"/>
      <c r="G2" s="1018"/>
      <c r="H2" s="1018"/>
      <c r="I2" s="1018"/>
      <c r="J2" s="1018"/>
      <c r="K2" s="1018"/>
      <c r="L2" s="1018"/>
      <c r="M2" s="1018"/>
      <c r="N2" s="1018"/>
      <c r="O2" s="1018"/>
      <c r="P2" s="1018"/>
    </row>
    <row r="3" spans="1:16" s="638" customFormat="1" ht="6" customHeight="1" x14ac:dyDescent="0.25"/>
    <row r="4" spans="1:16" s="638" customFormat="1" ht="15.45" customHeight="1" x14ac:dyDescent="0.25">
      <c r="B4" s="639" t="s">
        <v>301</v>
      </c>
      <c r="C4" s="639"/>
      <c r="D4" s="639"/>
      <c r="E4" s="639"/>
    </row>
    <row r="5" spans="1:16" s="638" customFormat="1" ht="6" customHeight="1" thickBot="1" x14ac:dyDescent="0.3"/>
    <row r="6" spans="1:16" ht="18" thickBot="1" x14ac:dyDescent="0.3">
      <c r="A6" s="640" t="s">
        <v>302</v>
      </c>
      <c r="B6" s="641"/>
      <c r="C6" s="642"/>
      <c r="D6" s="642"/>
      <c r="E6" s="1019" t="s">
        <v>303</v>
      </c>
      <c r="F6" s="1019"/>
      <c r="G6" s="1019"/>
      <c r="H6" s="1019"/>
      <c r="I6" s="1019"/>
      <c r="J6" s="1019"/>
      <c r="K6" s="1019"/>
      <c r="L6" s="1019"/>
      <c r="M6" s="1019"/>
      <c r="N6" s="1019"/>
      <c r="O6" s="1019"/>
      <c r="P6" s="1020"/>
    </row>
    <row r="7" spans="1:16" s="638" customFormat="1" ht="6.9" customHeight="1" x14ac:dyDescent="0.25">
      <c r="A7" s="644"/>
      <c r="B7" s="645"/>
      <c r="C7" s="645"/>
      <c r="D7" s="645"/>
      <c r="E7" s="646"/>
      <c r="F7" s="646"/>
      <c r="G7" s="646"/>
      <c r="H7" s="646"/>
      <c r="I7" s="646"/>
      <c r="J7" s="646"/>
      <c r="K7" s="646"/>
      <c r="L7" s="646"/>
      <c r="M7" s="646"/>
      <c r="N7" s="646"/>
      <c r="O7" s="646"/>
      <c r="P7" s="646"/>
    </row>
    <row r="8" spans="1:16" s="638" customFormat="1" x14ac:dyDescent="0.25">
      <c r="B8" s="1021"/>
      <c r="C8" s="1021"/>
      <c r="D8" s="1021"/>
      <c r="E8" s="1021"/>
      <c r="F8" s="1021"/>
      <c r="G8" s="1021"/>
      <c r="H8" s="1021"/>
      <c r="I8" s="1021"/>
      <c r="J8" s="1021"/>
      <c r="K8" s="1021"/>
      <c r="L8" s="1021"/>
      <c r="M8" s="1021"/>
      <c r="N8" s="1021"/>
      <c r="O8" s="1021"/>
      <c r="P8" s="647"/>
    </row>
    <row r="9" spans="1:16" s="638" customFormat="1" ht="4.6500000000000004" customHeight="1" x14ac:dyDescent="0.25">
      <c r="A9" s="648"/>
      <c r="B9" s="649"/>
      <c r="C9" s="649"/>
      <c r="D9" s="649"/>
      <c r="E9" s="649"/>
      <c r="F9" s="649"/>
      <c r="G9" s="650"/>
      <c r="H9" s="650"/>
      <c r="I9" s="650"/>
      <c r="J9" s="650"/>
      <c r="K9" s="650"/>
      <c r="L9" s="650"/>
      <c r="M9" s="650"/>
      <c r="N9" s="650"/>
      <c r="O9" s="650"/>
      <c r="P9" s="650"/>
    </row>
    <row r="10" spans="1:16" s="651" customFormat="1" ht="49.65" customHeight="1" x14ac:dyDescent="0.25">
      <c r="B10" s="1022" t="s">
        <v>898</v>
      </c>
      <c r="C10" s="1022"/>
      <c r="D10" s="1022"/>
      <c r="E10" s="1022"/>
      <c r="F10" s="1022"/>
      <c r="G10" s="1022"/>
      <c r="H10" s="1022"/>
      <c r="I10" s="1022"/>
      <c r="J10" s="1022"/>
      <c r="K10" s="1022"/>
      <c r="L10" s="1022"/>
      <c r="M10" s="1022"/>
      <c r="N10" s="1022"/>
      <c r="O10" s="1022"/>
      <c r="P10" s="652"/>
    </row>
    <row r="11" spans="1:16" s="638" customFormat="1" ht="10.95" customHeight="1" thickBot="1" x14ac:dyDescent="0.3">
      <c r="A11" s="648"/>
      <c r="B11" s="649"/>
      <c r="C11" s="649"/>
      <c r="D11" s="649"/>
      <c r="E11" s="650"/>
      <c r="F11" s="650"/>
      <c r="G11" s="650"/>
      <c r="H11" s="650"/>
      <c r="I11" s="650"/>
      <c r="J11" s="650"/>
      <c r="K11" s="650"/>
      <c r="L11" s="650"/>
      <c r="M11" s="650"/>
      <c r="N11" s="650"/>
      <c r="O11" s="650"/>
      <c r="P11" s="650"/>
    </row>
    <row r="12" spans="1:16" s="638" customFormat="1" ht="18" thickBot="1" x14ac:dyDescent="0.3">
      <c r="A12" s="653"/>
      <c r="B12" s="654"/>
      <c r="C12" s="654"/>
      <c r="D12" s="654"/>
      <c r="E12" s="993" t="s">
        <v>259</v>
      </c>
      <c r="F12" s="994"/>
      <c r="G12" s="995"/>
      <c r="H12" s="993" t="s">
        <v>872</v>
      </c>
      <c r="I12" s="994"/>
      <c r="J12" s="995"/>
      <c r="K12" s="996" t="s">
        <v>305</v>
      </c>
      <c r="L12" s="997"/>
      <c r="M12" s="998"/>
      <c r="N12" s="996" t="s">
        <v>306</v>
      </c>
      <c r="O12" s="997"/>
      <c r="P12" s="998"/>
    </row>
    <row r="13" spans="1:16" ht="18" thickBot="1" x14ac:dyDescent="0.3">
      <c r="A13" s="1025" t="s">
        <v>307</v>
      </c>
      <c r="B13" s="1026"/>
      <c r="C13" s="1026"/>
      <c r="D13" s="1026"/>
      <c r="E13" s="1027" t="e">
        <f>+SUMIF('[3]Tax Base'!$B$4:$B$324,$E$6,'[3]Tax Base'!$E$4:$E$324)</f>
        <v>#VALUE!</v>
      </c>
      <c r="F13" s="1028"/>
      <c r="G13" s="1029"/>
      <c r="H13" s="1027" t="e">
        <f>+SUMIF('[3]Tax Base'!$B$4:$B$324,$E$6,'[3]Tax Base'!$C$4:$C$324)</f>
        <v>#VALUE!</v>
      </c>
      <c r="I13" s="1028"/>
      <c r="J13" s="1029"/>
      <c r="K13" s="1030" t="e">
        <f>+H13-E13</f>
        <v>#VALUE!</v>
      </c>
      <c r="L13" s="1031"/>
      <c r="M13" s="1032"/>
      <c r="N13" s="999" t="e">
        <f>+ROUND(H13/E13-1,4)</f>
        <v>#VALUE!</v>
      </c>
      <c r="O13" s="1000"/>
      <c r="P13" s="1001"/>
    </row>
    <row r="14" spans="1:16" ht="18" thickBot="1" x14ac:dyDescent="0.3">
      <c r="A14" s="1025" t="s">
        <v>6</v>
      </c>
      <c r="B14" s="1026"/>
      <c r="C14" s="1026"/>
      <c r="D14" s="1026"/>
      <c r="E14" s="1027" t="e">
        <f>+SUMIF('[3]Tax Base'!$B$4:$B$324,$E$6,'[3]Tax Base'!$F$4:$F$324)</f>
        <v>#VALUE!</v>
      </c>
      <c r="F14" s="1028"/>
      <c r="G14" s="1029"/>
      <c r="H14" s="1039">
        <v>69690</v>
      </c>
      <c r="I14" s="1040"/>
      <c r="J14" s="1041"/>
      <c r="K14" s="1027" t="e">
        <f>+H14-E14</f>
        <v>#VALUE!</v>
      </c>
      <c r="L14" s="1028"/>
      <c r="M14" s="1029"/>
      <c r="N14" s="999" t="e">
        <f>+ROUND(H14/E14-1,4)</f>
        <v>#VALUE!</v>
      </c>
      <c r="O14" s="1000"/>
      <c r="P14" s="1001"/>
    </row>
    <row r="15" spans="1:16" ht="18" thickBot="1" x14ac:dyDescent="0.3">
      <c r="A15" s="1025" t="s">
        <v>308</v>
      </c>
      <c r="B15" s="1026"/>
      <c r="C15" s="1026"/>
      <c r="D15" s="1026"/>
      <c r="E15" s="1033" t="e">
        <f>+ROUND(E14/E13,2)</f>
        <v>#VALUE!</v>
      </c>
      <c r="F15" s="1034"/>
      <c r="G15" s="1035"/>
      <c r="H15" s="1033" t="e">
        <f>+ROUND(H14/H13,2)</f>
        <v>#VALUE!</v>
      </c>
      <c r="I15" s="1034"/>
      <c r="J15" s="1035"/>
      <c r="K15" s="1036" t="e">
        <f>+H15-E15</f>
        <v>#VALUE!</v>
      </c>
      <c r="L15" s="1037"/>
      <c r="M15" s="1038"/>
      <c r="N15" s="999" t="e">
        <f>+ROUND(H15/E15-1,4)</f>
        <v>#VALUE!</v>
      </c>
      <c r="O15" s="1000"/>
      <c r="P15" s="1001"/>
    </row>
    <row r="16" spans="1:16" s="638" customFormat="1" ht="9" customHeight="1" thickBot="1" x14ac:dyDescent="0.35">
      <c r="A16" s="655"/>
      <c r="B16" s="655"/>
      <c r="C16" s="655"/>
      <c r="D16" s="655"/>
    </row>
    <row r="17" spans="1:16" s="663" customFormat="1" ht="17.399999999999999" x14ac:dyDescent="0.3">
      <c r="A17" s="656" t="s">
        <v>309</v>
      </c>
      <c r="B17" s="657"/>
      <c r="C17" s="657"/>
      <c r="D17" s="658"/>
      <c r="E17" s="659"/>
      <c r="F17" s="660"/>
      <c r="G17" s="660"/>
      <c r="H17" s="660"/>
      <c r="I17" s="660"/>
      <c r="J17" s="660"/>
      <c r="K17" s="660"/>
      <c r="L17" s="660"/>
      <c r="M17" s="661"/>
      <c r="N17" s="661"/>
      <c r="O17" s="661"/>
      <c r="P17" s="662"/>
    </row>
    <row r="18" spans="1:16" s="668" customFormat="1" ht="22.2" customHeight="1" x14ac:dyDescent="0.3">
      <c r="A18" s="664"/>
      <c r="B18" s="638" t="s">
        <v>899</v>
      </c>
      <c r="C18" s="665"/>
      <c r="D18" s="665"/>
      <c r="E18" s="666"/>
      <c r="F18" s="665"/>
      <c r="G18" s="665"/>
      <c r="H18" s="665"/>
      <c r="I18" s="665"/>
      <c r="J18" s="665"/>
      <c r="K18" s="665"/>
      <c r="L18" s="665"/>
      <c r="M18" s="665"/>
      <c r="N18" s="665"/>
      <c r="O18" s="665"/>
      <c r="P18" s="667"/>
    </row>
    <row r="19" spans="1:16" s="665" customFormat="1" ht="11.4" customHeight="1" thickBot="1" x14ac:dyDescent="0.3">
      <c r="A19" s="669"/>
      <c r="B19" s="670"/>
      <c r="C19" s="670"/>
      <c r="D19" s="670"/>
      <c r="E19" s="670"/>
      <c r="F19" s="670"/>
      <c r="G19" s="670"/>
      <c r="H19" s="670"/>
      <c r="I19" s="670"/>
      <c r="J19" s="670"/>
      <c r="K19" s="670"/>
      <c r="L19" s="670"/>
      <c r="M19" s="670"/>
      <c r="N19" s="670"/>
      <c r="O19" s="670"/>
      <c r="P19" s="671"/>
    </row>
    <row r="20" spans="1:16" s="638" customFormat="1" ht="5.7" customHeight="1" thickBot="1" x14ac:dyDescent="0.3">
      <c r="A20" s="672"/>
      <c r="B20" s="673"/>
      <c r="C20" s="673"/>
      <c r="D20" s="673"/>
      <c r="E20" s="673"/>
      <c r="F20" s="673"/>
      <c r="G20" s="673"/>
      <c r="H20" s="673"/>
      <c r="I20" s="673"/>
      <c r="J20" s="673"/>
      <c r="K20" s="673"/>
      <c r="L20" s="673"/>
      <c r="M20" s="673"/>
      <c r="N20" s="673"/>
      <c r="O20" s="673"/>
      <c r="P20" s="674"/>
    </row>
    <row r="21" spans="1:16" ht="17.399999999999999" x14ac:dyDescent="0.3">
      <c r="A21" s="675" t="s">
        <v>310</v>
      </c>
      <c r="B21" s="676"/>
      <c r="C21" s="676"/>
      <c r="D21" s="677"/>
      <c r="E21" s="678"/>
      <c r="F21" s="679"/>
      <c r="G21" s="679"/>
      <c r="H21" s="679"/>
      <c r="I21" s="679"/>
      <c r="J21" s="679"/>
      <c r="K21" s="679"/>
      <c r="L21" s="679"/>
      <c r="M21" s="680"/>
      <c r="N21" s="680"/>
      <c r="O21" s="680"/>
      <c r="P21" s="681"/>
    </row>
    <row r="22" spans="1:16" s="638" customFormat="1" ht="6.45" customHeight="1" x14ac:dyDescent="0.25">
      <c r="A22" s="682"/>
      <c r="P22" s="683"/>
    </row>
    <row r="23" spans="1:16" s="638" customFormat="1" ht="15.75" customHeight="1" x14ac:dyDescent="0.25">
      <c r="A23" s="682"/>
      <c r="B23" s="638" t="s">
        <v>311</v>
      </c>
      <c r="P23" s="683"/>
    </row>
    <row r="24" spans="1:16" s="638" customFormat="1" ht="5.7" customHeight="1" x14ac:dyDescent="0.25">
      <c r="A24" s="682"/>
      <c r="P24" s="683"/>
    </row>
    <row r="25" spans="1:16" s="638" customFormat="1" ht="15.75" customHeight="1" x14ac:dyDescent="0.25">
      <c r="A25" s="682"/>
      <c r="B25" s="638" t="s">
        <v>312</v>
      </c>
      <c r="N25" s="638" t="s">
        <v>313</v>
      </c>
      <c r="P25" s="683"/>
    </row>
    <row r="26" spans="1:16" s="638" customFormat="1" ht="15.75" customHeight="1" x14ac:dyDescent="0.25">
      <c r="A26" s="682"/>
      <c r="B26" s="639"/>
      <c r="C26" s="639"/>
      <c r="D26" s="639"/>
      <c r="E26" s="639"/>
      <c r="F26" s="639"/>
      <c r="G26" s="639"/>
      <c r="H26" s="639"/>
      <c r="I26" s="639"/>
      <c r="J26" s="639"/>
      <c r="K26" s="639"/>
      <c r="L26" s="639"/>
      <c r="N26" s="684"/>
      <c r="O26" s="684"/>
      <c r="P26" s="683"/>
    </row>
    <row r="27" spans="1:16" s="638" customFormat="1" ht="15.75" customHeight="1" x14ac:dyDescent="0.25">
      <c r="A27" s="682"/>
      <c r="B27" s="685"/>
      <c r="C27" s="685"/>
      <c r="D27" s="685"/>
      <c r="E27" s="685"/>
      <c r="F27" s="685"/>
      <c r="G27" s="685"/>
      <c r="H27" s="685"/>
      <c r="I27" s="685"/>
      <c r="J27" s="685"/>
      <c r="K27" s="685"/>
      <c r="L27" s="685"/>
      <c r="N27" s="685"/>
      <c r="O27" s="685"/>
      <c r="P27" s="683"/>
    </row>
    <row r="28" spans="1:16" s="638" customFormat="1" ht="15.75" customHeight="1" x14ac:dyDescent="0.25">
      <c r="A28" s="682"/>
      <c r="B28" s="685"/>
      <c r="C28" s="685"/>
      <c r="D28" s="685"/>
      <c r="E28" s="685"/>
      <c r="F28" s="685"/>
      <c r="G28" s="685"/>
      <c r="H28" s="685"/>
      <c r="I28" s="685"/>
      <c r="J28" s="685"/>
      <c r="K28" s="685"/>
      <c r="L28" s="685"/>
      <c r="N28" s="685"/>
      <c r="O28" s="685"/>
      <c r="P28" s="683"/>
    </row>
    <row r="29" spans="1:16" s="638" customFormat="1" ht="15.75" customHeight="1" x14ac:dyDescent="0.25">
      <c r="A29" s="682"/>
      <c r="B29" s="685"/>
      <c r="C29" s="685"/>
      <c r="D29" s="685"/>
      <c r="E29" s="685"/>
      <c r="F29" s="685"/>
      <c r="G29" s="685"/>
      <c r="H29" s="685"/>
      <c r="I29" s="685"/>
      <c r="J29" s="685"/>
      <c r="K29" s="685"/>
      <c r="L29" s="685"/>
      <c r="N29" s="685"/>
      <c r="O29" s="685"/>
      <c r="P29" s="683"/>
    </row>
    <row r="30" spans="1:16" s="638" customFormat="1" ht="15.75" customHeight="1" x14ac:dyDescent="0.25">
      <c r="A30" s="682"/>
      <c r="B30" s="685"/>
      <c r="C30" s="685"/>
      <c r="D30" s="685"/>
      <c r="E30" s="685"/>
      <c r="F30" s="685"/>
      <c r="G30" s="685"/>
      <c r="H30" s="685"/>
      <c r="I30" s="685"/>
      <c r="J30" s="685"/>
      <c r="K30" s="685"/>
      <c r="L30" s="685"/>
      <c r="N30" s="685"/>
      <c r="O30" s="685"/>
      <c r="P30" s="683"/>
    </row>
    <row r="31" spans="1:16" s="638" customFormat="1" ht="15.75" customHeight="1" x14ac:dyDescent="0.25">
      <c r="A31" s="682"/>
      <c r="B31" s="685"/>
      <c r="C31" s="685"/>
      <c r="D31" s="685"/>
      <c r="E31" s="685"/>
      <c r="F31" s="685"/>
      <c r="G31" s="685"/>
      <c r="H31" s="685"/>
      <c r="I31" s="685"/>
      <c r="J31" s="685"/>
      <c r="K31" s="685"/>
      <c r="L31" s="685"/>
      <c r="N31" s="685"/>
      <c r="O31" s="685"/>
      <c r="P31" s="683"/>
    </row>
    <row r="32" spans="1:16" s="638" customFormat="1" ht="15.75" customHeight="1" x14ac:dyDescent="0.25">
      <c r="A32" s="682"/>
      <c r="B32" s="685"/>
      <c r="C32" s="685"/>
      <c r="D32" s="685"/>
      <c r="E32" s="685"/>
      <c r="F32" s="685"/>
      <c r="G32" s="685"/>
      <c r="H32" s="685"/>
      <c r="I32" s="685"/>
      <c r="J32" s="685"/>
      <c r="K32" s="685"/>
      <c r="L32" s="685"/>
      <c r="N32" s="685"/>
      <c r="O32" s="685"/>
      <c r="P32" s="683"/>
    </row>
    <row r="33" spans="1:16" s="638" customFormat="1" ht="15.75" customHeight="1" x14ac:dyDescent="0.25">
      <c r="A33" s="682"/>
      <c r="B33" s="685"/>
      <c r="C33" s="685"/>
      <c r="D33" s="685"/>
      <c r="E33" s="685"/>
      <c r="F33" s="685"/>
      <c r="G33" s="685"/>
      <c r="H33" s="685"/>
      <c r="I33" s="685"/>
      <c r="J33" s="685"/>
      <c r="K33" s="685"/>
      <c r="L33" s="685"/>
      <c r="N33" s="685"/>
      <c r="O33" s="685"/>
      <c r="P33" s="683"/>
    </row>
    <row r="34" spans="1:16" s="638" customFormat="1" ht="15.75" customHeight="1" x14ac:dyDescent="0.25">
      <c r="A34" s="682"/>
      <c r="B34" s="685"/>
      <c r="C34" s="685"/>
      <c r="D34" s="685"/>
      <c r="E34" s="685"/>
      <c r="F34" s="685"/>
      <c r="G34" s="685"/>
      <c r="H34" s="685"/>
      <c r="I34" s="685"/>
      <c r="J34" s="685"/>
      <c r="K34" s="685"/>
      <c r="L34" s="685"/>
      <c r="N34" s="685"/>
      <c r="O34" s="685"/>
      <c r="P34" s="683"/>
    </row>
    <row r="35" spans="1:16" s="638" customFormat="1" ht="15.75" customHeight="1" x14ac:dyDescent="0.25">
      <c r="A35" s="682"/>
      <c r="B35" s="685"/>
      <c r="C35" s="685"/>
      <c r="D35" s="685"/>
      <c r="E35" s="685"/>
      <c r="F35" s="685"/>
      <c r="G35" s="685"/>
      <c r="H35" s="685"/>
      <c r="I35" s="685"/>
      <c r="J35" s="685"/>
      <c r="K35" s="685"/>
      <c r="L35" s="685"/>
      <c r="N35" s="685"/>
      <c r="O35" s="685"/>
      <c r="P35" s="683"/>
    </row>
    <row r="36" spans="1:16" s="638" customFormat="1" ht="15.75" customHeight="1" thickBot="1" x14ac:dyDescent="0.3">
      <c r="A36" s="682"/>
      <c r="P36" s="683"/>
    </row>
    <row r="37" spans="1:16" ht="17.399999999999999" x14ac:dyDescent="0.25">
      <c r="A37" s="1002" t="s">
        <v>314</v>
      </c>
      <c r="B37" s="1003"/>
      <c r="C37" s="1003"/>
      <c r="D37" s="1003"/>
      <c r="E37" s="1003"/>
      <c r="F37" s="686"/>
      <c r="G37" s="686"/>
      <c r="H37" s="686"/>
      <c r="I37" s="686"/>
      <c r="J37" s="680"/>
      <c r="K37" s="680"/>
      <c r="L37" s="680"/>
      <c r="M37" s="680"/>
      <c r="N37" s="680"/>
      <c r="O37" s="680"/>
      <c r="P37" s="681"/>
    </row>
    <row r="38" spans="1:16" ht="8.1" customHeight="1" x14ac:dyDescent="0.25">
      <c r="A38" s="682"/>
      <c r="B38" s="638"/>
      <c r="C38" s="638"/>
      <c r="D38" s="638"/>
      <c r="E38" s="638"/>
      <c r="F38" s="638"/>
      <c r="G38" s="638"/>
      <c r="H38" s="638"/>
      <c r="I38" s="638"/>
      <c r="J38" s="638"/>
      <c r="K38" s="638"/>
      <c r="L38" s="638"/>
      <c r="M38" s="638"/>
      <c r="N38" s="638"/>
      <c r="O38" s="638"/>
      <c r="P38" s="683"/>
    </row>
    <row r="39" spans="1:16" ht="15.6" hidden="1" x14ac:dyDescent="0.3">
      <c r="A39" s="682"/>
      <c r="B39" s="687" t="s">
        <v>315</v>
      </c>
      <c r="C39" s="688"/>
      <c r="D39" s="688"/>
      <c r="E39" s="688"/>
      <c r="F39" s="688"/>
      <c r="G39" s="688"/>
      <c r="H39" s="688"/>
      <c r="I39" s="688"/>
      <c r="J39" s="688"/>
      <c r="K39" s="688"/>
      <c r="L39" s="638"/>
      <c r="M39" s="638"/>
      <c r="N39" s="638"/>
      <c r="O39" s="638"/>
      <c r="P39" s="683"/>
    </row>
    <row r="40" spans="1:16" s="638" customFormat="1" ht="8.6999999999999993" hidden="1" customHeight="1" x14ac:dyDescent="0.3">
      <c r="A40" s="682"/>
      <c r="B40" s="689"/>
      <c r="P40" s="683"/>
    </row>
    <row r="41" spans="1:16" ht="16.2" thickBot="1" x14ac:dyDescent="0.35">
      <c r="A41" s="690"/>
      <c r="B41" s="691" t="s">
        <v>316</v>
      </c>
      <c r="C41" s="638"/>
      <c r="D41" s="638"/>
      <c r="E41" s="638"/>
      <c r="F41" s="638"/>
      <c r="G41" s="638"/>
      <c r="H41" s="638"/>
      <c r="I41" s="638"/>
      <c r="J41" s="689"/>
      <c r="K41" s="638"/>
      <c r="L41" s="638"/>
      <c r="M41" s="638"/>
      <c r="N41" s="638"/>
      <c r="O41" s="638"/>
      <c r="P41" s="683"/>
    </row>
    <row r="42" spans="1:16" s="638" customFormat="1" ht="15.9" customHeight="1" thickBot="1" x14ac:dyDescent="0.35">
      <c r="A42" s="692"/>
      <c r="B42" s="693" t="s">
        <v>317</v>
      </c>
      <c r="C42" s="694"/>
      <c r="D42" s="1004" t="s">
        <v>657</v>
      </c>
      <c r="E42" s="1005"/>
      <c r="F42" s="1005"/>
      <c r="G42" s="1005"/>
      <c r="H42" s="1005"/>
      <c r="I42" s="1005"/>
      <c r="J42" s="1005"/>
      <c r="K42" s="1005"/>
      <c r="L42" s="1005"/>
      <c r="M42" s="1005"/>
      <c r="N42" s="1005"/>
      <c r="O42" s="1006"/>
      <c r="P42" s="683"/>
    </row>
    <row r="43" spans="1:16" s="638" customFormat="1" ht="16.2" thickBot="1" x14ac:dyDescent="0.35">
      <c r="A43" s="692"/>
      <c r="B43" s="695" t="s">
        <v>318</v>
      </c>
      <c r="C43" s="694"/>
      <c r="D43" s="696">
        <v>30</v>
      </c>
      <c r="E43" s="697" t="s">
        <v>319</v>
      </c>
      <c r="F43" s="698">
        <v>99</v>
      </c>
      <c r="G43" s="697" t="s">
        <v>319</v>
      </c>
      <c r="H43" s="698">
        <v>98</v>
      </c>
      <c r="I43" s="695"/>
      <c r="J43" s="699"/>
      <c r="K43" s="699"/>
      <c r="L43" s="699"/>
      <c r="M43" s="699"/>
      <c r="N43" s="699"/>
      <c r="O43" s="699"/>
      <c r="P43" s="683"/>
    </row>
    <row r="44" spans="1:16" s="638" customFormat="1" ht="15.9" customHeight="1" thickBot="1" x14ac:dyDescent="0.35">
      <c r="A44" s="692"/>
      <c r="B44" s="695" t="s">
        <v>320</v>
      </c>
      <c r="C44" s="700"/>
      <c r="D44" s="1004" t="s">
        <v>658</v>
      </c>
      <c r="E44" s="1005"/>
      <c r="F44" s="1005"/>
      <c r="G44" s="1005"/>
      <c r="H44" s="1005"/>
      <c r="I44" s="1005"/>
      <c r="J44" s="1005"/>
      <c r="K44" s="1005"/>
      <c r="L44" s="1005"/>
      <c r="M44" s="1005"/>
      <c r="N44" s="1005"/>
      <c r="O44" s="1006"/>
      <c r="P44" s="683"/>
    </row>
    <row r="45" spans="1:16" s="638" customFormat="1" ht="15.9" customHeight="1" thickBot="1" x14ac:dyDescent="0.35">
      <c r="A45" s="692"/>
      <c r="B45" s="695" t="s">
        <v>321</v>
      </c>
      <c r="C45" s="700"/>
      <c r="D45" s="1004" t="s">
        <v>659</v>
      </c>
      <c r="E45" s="1005"/>
      <c r="F45" s="1005"/>
      <c r="G45" s="1005"/>
      <c r="H45" s="1005"/>
      <c r="I45" s="1005"/>
      <c r="J45" s="1005"/>
      <c r="K45" s="1005"/>
      <c r="L45" s="1005"/>
      <c r="M45" s="1005"/>
      <c r="N45" s="1005"/>
      <c r="O45" s="1006"/>
      <c r="P45" s="683"/>
    </row>
    <row r="46" spans="1:16" s="638" customFormat="1" ht="15.45" customHeight="1" x14ac:dyDescent="0.3">
      <c r="A46" s="692"/>
      <c r="B46" s="701" t="s">
        <v>322</v>
      </c>
      <c r="C46" s="702"/>
      <c r="D46" s="1007" t="s">
        <v>900</v>
      </c>
      <c r="E46" s="1008"/>
      <c r="F46" s="1008"/>
      <c r="G46" s="1008"/>
      <c r="H46" s="1008"/>
      <c r="I46" s="1008"/>
      <c r="J46" s="1008"/>
      <c r="K46" s="1008"/>
      <c r="L46" s="1008"/>
      <c r="M46" s="1008"/>
      <c r="N46" s="1008"/>
      <c r="O46" s="1009"/>
      <c r="P46" s="683"/>
    </row>
    <row r="47" spans="1:16" s="638" customFormat="1" ht="15.9" customHeight="1" thickBot="1" x14ac:dyDescent="0.3">
      <c r="A47" s="682"/>
      <c r="B47" s="703"/>
      <c r="C47" s="704"/>
      <c r="D47" s="1010"/>
      <c r="E47" s="1011"/>
      <c r="F47" s="1011"/>
      <c r="G47" s="1011"/>
      <c r="H47" s="1011"/>
      <c r="I47" s="1011"/>
      <c r="J47" s="1011"/>
      <c r="K47" s="1011"/>
      <c r="L47" s="1011"/>
      <c r="M47" s="1011"/>
      <c r="N47" s="1011"/>
      <c r="O47" s="1012"/>
      <c r="P47" s="683"/>
    </row>
    <row r="48" spans="1:16" s="638" customFormat="1" ht="7.2" customHeight="1" thickBot="1" x14ac:dyDescent="0.3">
      <c r="A48" s="682"/>
      <c r="O48" s="683"/>
      <c r="P48" s="683"/>
    </row>
    <row r="49" spans="1:16" s="638" customFormat="1" ht="15.6" customHeight="1" x14ac:dyDescent="0.25">
      <c r="A49" s="682"/>
      <c r="B49" s="1013" t="s">
        <v>901</v>
      </c>
      <c r="C49" s="1013"/>
      <c r="D49" s="1013"/>
      <c r="E49" s="1013"/>
      <c r="F49" s="1013"/>
      <c r="G49" s="1013"/>
      <c r="H49" s="1013"/>
      <c r="I49" s="1013"/>
      <c r="J49" s="1013"/>
      <c r="K49" s="1013"/>
      <c r="L49" s="1013"/>
      <c r="M49" s="1014"/>
      <c r="O49" s="683"/>
      <c r="P49" s="683"/>
    </row>
    <row r="50" spans="1:16" s="638" customFormat="1" ht="15.6" customHeight="1" thickBot="1" x14ac:dyDescent="0.3">
      <c r="A50" s="682"/>
      <c r="B50" s="1013"/>
      <c r="C50" s="1013"/>
      <c r="D50" s="1013"/>
      <c r="E50" s="1013"/>
      <c r="F50" s="1013"/>
      <c r="G50" s="1013"/>
      <c r="H50" s="1013"/>
      <c r="I50" s="1013"/>
      <c r="J50" s="1013"/>
      <c r="K50" s="1013"/>
      <c r="L50" s="1013"/>
      <c r="M50" s="1015"/>
      <c r="O50" s="683"/>
      <c r="P50" s="683"/>
    </row>
    <row r="51" spans="1:16" s="638" customFormat="1" ht="15.6" customHeight="1" x14ac:dyDescent="0.25">
      <c r="A51" s="682"/>
      <c r="O51" s="683"/>
      <c r="P51" s="683"/>
    </row>
    <row r="52" spans="1:16" s="638" customFormat="1" ht="15.6" thickBot="1" x14ac:dyDescent="0.3">
      <c r="A52" s="682"/>
      <c r="B52" s="705" t="s">
        <v>323</v>
      </c>
      <c r="O52" s="683"/>
      <c r="P52" s="683"/>
    </row>
    <row r="53" spans="1:16" s="638" customFormat="1" ht="24" customHeight="1" thickBot="1" x14ac:dyDescent="0.3">
      <c r="A53" s="682"/>
      <c r="B53" s="695" t="s">
        <v>324</v>
      </c>
      <c r="C53" s="706"/>
      <c r="D53" s="1004" t="s">
        <v>123</v>
      </c>
      <c r="E53" s="1005"/>
      <c r="F53" s="1005"/>
      <c r="G53" s="1005"/>
      <c r="H53" s="1005"/>
      <c r="I53" s="1005"/>
      <c r="J53" s="1005"/>
      <c r="K53" s="1005"/>
      <c r="L53" s="1005"/>
      <c r="M53" s="1005"/>
      <c r="N53" s="1005"/>
      <c r="O53" s="1006"/>
      <c r="P53" s="683"/>
    </row>
    <row r="54" spans="1:16" s="638" customFormat="1" ht="24" customHeight="1" thickBot="1" x14ac:dyDescent="0.3">
      <c r="A54" s="682"/>
      <c r="B54" s="695" t="s">
        <v>325</v>
      </c>
      <c r="C54" s="706"/>
      <c r="D54" s="1004" t="s">
        <v>660</v>
      </c>
      <c r="E54" s="1005"/>
      <c r="F54" s="1005"/>
      <c r="G54" s="1005"/>
      <c r="H54" s="1005"/>
      <c r="I54" s="1005"/>
      <c r="J54" s="1005"/>
      <c r="K54" s="1005"/>
      <c r="L54" s="1005"/>
      <c r="M54" s="1005"/>
      <c r="N54" s="1005"/>
      <c r="O54" s="1006"/>
      <c r="P54" s="683"/>
    </row>
    <row r="55" spans="1:16" s="638" customFormat="1" ht="24" customHeight="1" thickBot="1" x14ac:dyDescent="0.3">
      <c r="A55" s="682"/>
      <c r="B55" s="695" t="s">
        <v>326</v>
      </c>
      <c r="C55" s="706"/>
      <c r="D55" s="1004" t="s">
        <v>661</v>
      </c>
      <c r="E55" s="1005"/>
      <c r="F55" s="1005"/>
      <c r="G55" s="1005"/>
      <c r="H55" s="1005"/>
      <c r="I55" s="1005"/>
      <c r="J55" s="1005"/>
      <c r="K55" s="1005"/>
      <c r="L55" s="1005"/>
      <c r="M55" s="1005"/>
      <c r="N55" s="1005"/>
      <c r="O55" s="1006"/>
      <c r="P55" s="683"/>
    </row>
    <row r="56" spans="1:16" s="638" customFormat="1" ht="10.95" customHeight="1" thickBot="1" x14ac:dyDescent="0.3">
      <c r="A56" s="707"/>
      <c r="B56" s="708"/>
      <c r="C56" s="708"/>
      <c r="D56" s="708"/>
      <c r="E56" s="708"/>
      <c r="F56" s="708"/>
      <c r="G56" s="708"/>
      <c r="H56" s="708"/>
      <c r="I56" s="708"/>
      <c r="J56" s="708"/>
      <c r="K56" s="708"/>
      <c r="L56" s="708"/>
      <c r="M56" s="708"/>
      <c r="N56" s="708"/>
      <c r="O56" s="708"/>
      <c r="P56" s="709"/>
    </row>
    <row r="57" spans="1:16" s="638" customFormat="1" ht="11.4" customHeight="1" thickBot="1" x14ac:dyDescent="0.3"/>
    <row r="58" spans="1:16" s="638" customFormat="1" ht="17.399999999999999" x14ac:dyDescent="0.25">
      <c r="A58" s="675" t="s">
        <v>327</v>
      </c>
      <c r="B58" s="686"/>
      <c r="C58" s="680"/>
      <c r="D58" s="680"/>
      <c r="E58" s="680"/>
      <c r="F58" s="680"/>
      <c r="G58" s="680"/>
      <c r="H58" s="680"/>
      <c r="I58" s="680"/>
      <c r="J58" s="680"/>
      <c r="K58" s="680"/>
      <c r="L58" s="680"/>
      <c r="M58" s="680"/>
      <c r="N58" s="680"/>
      <c r="O58" s="680"/>
      <c r="P58" s="681"/>
    </row>
    <row r="59" spans="1:16" s="638" customFormat="1" ht="8.1" customHeight="1" x14ac:dyDescent="0.25">
      <c r="A59" s="682"/>
      <c r="P59" s="683"/>
    </row>
    <row r="60" spans="1:16" ht="15.6" x14ac:dyDescent="0.3">
      <c r="A60" s="682"/>
      <c r="B60" s="638" t="s">
        <v>328</v>
      </c>
      <c r="C60" s="638"/>
      <c r="D60" s="638"/>
      <c r="E60" s="638"/>
      <c r="F60" s="638"/>
      <c r="G60" s="638"/>
      <c r="H60" s="710" t="s">
        <v>329</v>
      </c>
      <c r="I60" s="684" t="s">
        <v>902</v>
      </c>
      <c r="J60" s="684"/>
      <c r="K60" s="684"/>
      <c r="M60" s="1023"/>
      <c r="N60" s="1023"/>
      <c r="O60" s="1023"/>
      <c r="P60" s="1024"/>
    </row>
    <row r="61" spans="1:16" ht="24" customHeight="1" x14ac:dyDescent="0.3">
      <c r="A61" s="713"/>
      <c r="B61" s="714" t="s">
        <v>330</v>
      </c>
      <c r="D61" s="684"/>
      <c r="E61" s="684"/>
      <c r="F61" s="684" t="s">
        <v>903</v>
      </c>
      <c r="G61" s="684"/>
      <c r="H61" s="715" t="s">
        <v>331</v>
      </c>
      <c r="I61" s="638"/>
      <c r="J61" s="684" t="s">
        <v>904</v>
      </c>
      <c r="K61" s="684"/>
      <c r="L61" s="684"/>
      <c r="M61" s="684"/>
      <c r="N61" s="684"/>
      <c r="O61" s="684"/>
      <c r="P61" s="683"/>
    </row>
    <row r="62" spans="1:16" ht="7.35" customHeight="1" x14ac:dyDescent="0.3">
      <c r="A62" s="713"/>
      <c r="B62" s="716"/>
      <c r="C62" s="715"/>
      <c r="D62" s="638"/>
      <c r="E62" s="711"/>
      <c r="F62" s="711"/>
      <c r="G62" s="711"/>
      <c r="H62" s="711"/>
      <c r="I62" s="711"/>
      <c r="J62" s="711"/>
      <c r="K62" s="711"/>
      <c r="L62" s="711"/>
      <c r="M62" s="711"/>
      <c r="N62" s="711"/>
      <c r="O62" s="711"/>
      <c r="P62" s="712"/>
    </row>
    <row r="63" spans="1:16" ht="19.649999999999999" customHeight="1" x14ac:dyDescent="0.3">
      <c r="A63" s="713"/>
      <c r="B63" s="714" t="s">
        <v>332</v>
      </c>
      <c r="C63" s="715"/>
      <c r="D63" s="638"/>
      <c r="E63" s="711"/>
      <c r="F63" s="711"/>
      <c r="G63" s="711"/>
      <c r="I63" s="717" t="s">
        <v>660</v>
      </c>
      <c r="J63" s="717"/>
      <c r="K63" s="717"/>
      <c r="L63" s="717"/>
      <c r="M63" s="717"/>
      <c r="N63" s="717"/>
      <c r="O63" s="717"/>
      <c r="P63" s="712"/>
    </row>
    <row r="64" spans="1:16" s="638" customFormat="1" ht="8.6999999999999993" customHeight="1" thickBot="1" x14ac:dyDescent="0.35">
      <c r="A64" s="707"/>
      <c r="B64" s="718"/>
      <c r="C64" s="718"/>
      <c r="D64" s="718"/>
      <c r="E64" s="718"/>
      <c r="F64" s="718"/>
      <c r="G64" s="718"/>
      <c r="H64" s="991"/>
      <c r="I64" s="991"/>
      <c r="J64" s="991"/>
      <c r="K64" s="991"/>
      <c r="L64" s="991"/>
      <c r="M64" s="991"/>
      <c r="N64" s="991"/>
      <c r="O64" s="991"/>
      <c r="P64" s="992"/>
    </row>
    <row r="65" spans="1:16" s="638" customFormat="1" ht="5.7" customHeight="1" thickBot="1" x14ac:dyDescent="0.3"/>
    <row r="66" spans="1:16" s="638" customFormat="1" ht="17.399999999999999" x14ac:dyDescent="0.25">
      <c r="A66" s="675" t="s">
        <v>333</v>
      </c>
      <c r="B66" s="680"/>
      <c r="C66" s="680"/>
      <c r="D66" s="680"/>
      <c r="E66" s="680"/>
      <c r="F66" s="680"/>
      <c r="G66" s="680"/>
      <c r="H66" s="680"/>
      <c r="I66" s="680"/>
      <c r="J66" s="680"/>
      <c r="K66" s="680"/>
      <c r="L66" s="680"/>
      <c r="M66" s="680"/>
      <c r="N66" s="680"/>
      <c r="O66" s="680"/>
      <c r="P66" s="681"/>
    </row>
    <row r="67" spans="1:16" s="638" customFormat="1" ht="8.1" customHeight="1" x14ac:dyDescent="0.25">
      <c r="A67" s="682"/>
      <c r="P67" s="683"/>
    </row>
    <row r="68" spans="1:16" s="638" customFormat="1" ht="15.6" x14ac:dyDescent="0.3">
      <c r="A68" s="682"/>
      <c r="B68" s="638" t="s">
        <v>334</v>
      </c>
      <c r="E68" s="719" t="s">
        <v>335</v>
      </c>
      <c r="P68" s="683"/>
    </row>
    <row r="69" spans="1:16" s="638" customFormat="1" x14ac:dyDescent="0.25">
      <c r="A69" s="682"/>
      <c r="B69" s="638" t="s">
        <v>336</v>
      </c>
      <c r="E69" s="720">
        <v>45688</v>
      </c>
      <c r="P69" s="683"/>
    </row>
    <row r="70" spans="1:16" s="638" customFormat="1" ht="8.1" customHeight="1" thickBot="1" x14ac:dyDescent="0.35">
      <c r="A70" s="721"/>
      <c r="B70" s="722"/>
      <c r="C70" s="723"/>
      <c r="D70" s="724"/>
      <c r="E70" s="723"/>
      <c r="F70" s="725"/>
      <c r="G70" s="725"/>
      <c r="H70" s="725"/>
      <c r="I70" s="708"/>
      <c r="J70" s="708"/>
      <c r="K70" s="708"/>
      <c r="L70" s="708"/>
      <c r="M70" s="708"/>
      <c r="N70" s="708"/>
      <c r="O70" s="708"/>
      <c r="P70" s="709"/>
    </row>
    <row r="71" spans="1:16" hidden="1" x14ac:dyDescent="0.25">
      <c r="A71" s="638"/>
      <c r="B71" s="638"/>
      <c r="C71" s="638"/>
      <c r="D71" s="638"/>
      <c r="E71" s="638"/>
      <c r="F71" s="638"/>
      <c r="G71" s="638"/>
      <c r="H71" s="638"/>
      <c r="I71" s="638"/>
      <c r="J71" s="638"/>
      <c r="K71" s="638"/>
      <c r="L71" s="638"/>
      <c r="M71" s="638"/>
      <c r="N71" s="638"/>
      <c r="O71" s="638"/>
      <c r="P71" s="638"/>
    </row>
    <row r="72" spans="1:16" hidden="1" x14ac:dyDescent="0.25">
      <c r="A72" s="714" t="s">
        <v>304</v>
      </c>
    </row>
    <row r="73" spans="1:16" hidden="1" x14ac:dyDescent="0.25">
      <c r="A73" s="638" t="s">
        <v>337</v>
      </c>
    </row>
    <row r="74" spans="1:16" hidden="1" x14ac:dyDescent="0.25">
      <c r="A74" s="638" t="s">
        <v>338</v>
      </c>
    </row>
    <row r="75" spans="1:16" hidden="1" x14ac:dyDescent="0.25">
      <c r="A75" s="638" t="s">
        <v>339</v>
      </c>
    </row>
    <row r="76" spans="1:16" hidden="1" x14ac:dyDescent="0.25">
      <c r="A76" s="638" t="s">
        <v>340</v>
      </c>
    </row>
    <row r="77" spans="1:16" hidden="1" x14ac:dyDescent="0.25">
      <c r="A77" s="638" t="s">
        <v>341</v>
      </c>
    </row>
    <row r="78" spans="1:16" hidden="1" x14ac:dyDescent="0.25">
      <c r="A78" s="638" t="s">
        <v>342</v>
      </c>
    </row>
    <row r="79" spans="1:16" hidden="1" x14ac:dyDescent="0.25">
      <c r="A79" s="638" t="s">
        <v>343</v>
      </c>
    </row>
    <row r="80" spans="1:16" hidden="1" x14ac:dyDescent="0.25">
      <c r="A80" s="638" t="s">
        <v>344</v>
      </c>
    </row>
    <row r="81" spans="1:1" hidden="1" x14ac:dyDescent="0.25">
      <c r="A81" s="638" t="s">
        <v>345</v>
      </c>
    </row>
    <row r="82" spans="1:1" hidden="1" x14ac:dyDescent="0.25">
      <c r="A82" s="638" t="s">
        <v>346</v>
      </c>
    </row>
    <row r="83" spans="1:1" hidden="1" x14ac:dyDescent="0.25">
      <c r="A83" s="638" t="s">
        <v>347</v>
      </c>
    </row>
    <row r="84" spans="1:1" hidden="1" x14ac:dyDescent="0.25">
      <c r="A84" s="638" t="s">
        <v>348</v>
      </c>
    </row>
    <row r="85" spans="1:1" hidden="1" x14ac:dyDescent="0.25">
      <c r="A85" s="638" t="s">
        <v>349</v>
      </c>
    </row>
    <row r="86" spans="1:1" hidden="1" x14ac:dyDescent="0.25">
      <c r="A86" s="638" t="s">
        <v>350</v>
      </c>
    </row>
    <row r="87" spans="1:1" hidden="1" x14ac:dyDescent="0.25">
      <c r="A87" s="638" t="s">
        <v>351</v>
      </c>
    </row>
    <row r="88" spans="1:1" hidden="1" x14ac:dyDescent="0.25">
      <c r="A88" s="638" t="s">
        <v>352</v>
      </c>
    </row>
    <row r="89" spans="1:1" hidden="1" x14ac:dyDescent="0.25">
      <c r="A89" s="638" t="s">
        <v>353</v>
      </c>
    </row>
    <row r="90" spans="1:1" hidden="1" x14ac:dyDescent="0.25">
      <c r="A90" s="638" t="s">
        <v>354</v>
      </c>
    </row>
    <row r="91" spans="1:1" hidden="1" x14ac:dyDescent="0.25">
      <c r="A91" s="638" t="s">
        <v>355</v>
      </c>
    </row>
    <row r="92" spans="1:1" hidden="1" x14ac:dyDescent="0.25">
      <c r="A92" s="638" t="s">
        <v>356</v>
      </c>
    </row>
    <row r="93" spans="1:1" hidden="1" x14ac:dyDescent="0.25">
      <c r="A93" s="638" t="s">
        <v>357</v>
      </c>
    </row>
    <row r="94" spans="1:1" hidden="1" x14ac:dyDescent="0.25">
      <c r="A94" s="638" t="s">
        <v>358</v>
      </c>
    </row>
    <row r="95" spans="1:1" hidden="1" x14ac:dyDescent="0.25">
      <c r="A95" s="638" t="s">
        <v>359</v>
      </c>
    </row>
    <row r="96" spans="1:1" hidden="1" x14ac:dyDescent="0.25">
      <c r="A96" s="638" t="s">
        <v>360</v>
      </c>
    </row>
    <row r="97" spans="1:1" hidden="1" x14ac:dyDescent="0.25">
      <c r="A97" s="638" t="s">
        <v>361</v>
      </c>
    </row>
    <row r="98" spans="1:1" hidden="1" x14ac:dyDescent="0.25">
      <c r="A98" s="638" t="s">
        <v>362</v>
      </c>
    </row>
    <row r="99" spans="1:1" hidden="1" x14ac:dyDescent="0.25">
      <c r="A99" s="638" t="s">
        <v>363</v>
      </c>
    </row>
    <row r="100" spans="1:1" hidden="1" x14ac:dyDescent="0.25">
      <c r="A100" s="638" t="s">
        <v>364</v>
      </c>
    </row>
    <row r="101" spans="1:1" hidden="1" x14ac:dyDescent="0.25">
      <c r="A101" s="638" t="s">
        <v>365</v>
      </c>
    </row>
    <row r="102" spans="1:1" hidden="1" x14ac:dyDescent="0.25">
      <c r="A102" s="638" t="s">
        <v>366</v>
      </c>
    </row>
    <row r="103" spans="1:1" hidden="1" x14ac:dyDescent="0.25">
      <c r="A103" s="638" t="s">
        <v>367</v>
      </c>
    </row>
    <row r="104" spans="1:1" hidden="1" x14ac:dyDescent="0.25">
      <c r="A104" s="638" t="s">
        <v>368</v>
      </c>
    </row>
    <row r="105" spans="1:1" hidden="1" x14ac:dyDescent="0.25">
      <c r="A105" s="638" t="s">
        <v>369</v>
      </c>
    </row>
    <row r="106" spans="1:1" hidden="1" x14ac:dyDescent="0.25">
      <c r="A106" s="638" t="s">
        <v>370</v>
      </c>
    </row>
    <row r="107" spans="1:1" hidden="1" x14ac:dyDescent="0.25">
      <c r="A107" s="638" t="s">
        <v>371</v>
      </c>
    </row>
    <row r="108" spans="1:1" hidden="1" x14ac:dyDescent="0.25">
      <c r="A108" s="638" t="s">
        <v>372</v>
      </c>
    </row>
    <row r="109" spans="1:1" hidden="1" x14ac:dyDescent="0.25">
      <c r="A109" s="638" t="s">
        <v>373</v>
      </c>
    </row>
    <row r="110" spans="1:1" hidden="1" x14ac:dyDescent="0.25">
      <c r="A110" s="638" t="s">
        <v>374</v>
      </c>
    </row>
    <row r="111" spans="1:1" hidden="1" x14ac:dyDescent="0.25">
      <c r="A111" s="638" t="s">
        <v>375</v>
      </c>
    </row>
    <row r="112" spans="1:1" hidden="1" x14ac:dyDescent="0.25">
      <c r="A112" s="638" t="s">
        <v>376</v>
      </c>
    </row>
    <row r="113" spans="1:1" hidden="1" x14ac:dyDescent="0.25">
      <c r="A113" s="638" t="s">
        <v>377</v>
      </c>
    </row>
    <row r="114" spans="1:1" hidden="1" x14ac:dyDescent="0.25">
      <c r="A114" s="638" t="s">
        <v>378</v>
      </c>
    </row>
    <row r="115" spans="1:1" hidden="1" x14ac:dyDescent="0.25">
      <c r="A115" s="638" t="s">
        <v>379</v>
      </c>
    </row>
    <row r="116" spans="1:1" hidden="1" x14ac:dyDescent="0.25">
      <c r="A116" s="638" t="s">
        <v>380</v>
      </c>
    </row>
    <row r="117" spans="1:1" hidden="1" x14ac:dyDescent="0.25">
      <c r="A117" s="638" t="s">
        <v>381</v>
      </c>
    </row>
    <row r="118" spans="1:1" hidden="1" x14ac:dyDescent="0.25">
      <c r="A118" s="638" t="s">
        <v>382</v>
      </c>
    </row>
    <row r="119" spans="1:1" hidden="1" x14ac:dyDescent="0.25">
      <c r="A119" s="638" t="s">
        <v>383</v>
      </c>
    </row>
    <row r="120" spans="1:1" hidden="1" x14ac:dyDescent="0.25">
      <c r="A120" s="638" t="s">
        <v>384</v>
      </c>
    </row>
    <row r="121" spans="1:1" hidden="1" x14ac:dyDescent="0.25">
      <c r="A121" s="638" t="s">
        <v>385</v>
      </c>
    </row>
    <row r="122" spans="1:1" hidden="1" x14ac:dyDescent="0.25">
      <c r="A122" s="638" t="s">
        <v>386</v>
      </c>
    </row>
    <row r="123" spans="1:1" hidden="1" x14ac:dyDescent="0.25">
      <c r="A123" s="638" t="s">
        <v>387</v>
      </c>
    </row>
    <row r="124" spans="1:1" hidden="1" x14ac:dyDescent="0.25">
      <c r="A124" s="638" t="s">
        <v>388</v>
      </c>
    </row>
    <row r="125" spans="1:1" hidden="1" x14ac:dyDescent="0.25">
      <c r="A125" s="638" t="s">
        <v>389</v>
      </c>
    </row>
    <row r="126" spans="1:1" hidden="1" x14ac:dyDescent="0.25">
      <c r="A126" s="638" t="s">
        <v>390</v>
      </c>
    </row>
    <row r="127" spans="1:1" hidden="1" x14ac:dyDescent="0.25">
      <c r="A127" s="643" t="s">
        <v>391</v>
      </c>
    </row>
    <row r="128" spans="1:1" hidden="1" x14ac:dyDescent="0.25">
      <c r="A128" s="643" t="s">
        <v>392</v>
      </c>
    </row>
    <row r="129" spans="1:1" hidden="1" x14ac:dyDescent="0.25">
      <c r="A129" s="643" t="s">
        <v>393</v>
      </c>
    </row>
    <row r="130" spans="1:1" hidden="1" x14ac:dyDescent="0.25">
      <c r="A130" s="643" t="s">
        <v>394</v>
      </c>
    </row>
    <row r="131" spans="1:1" hidden="1" x14ac:dyDescent="0.25">
      <c r="A131" s="643" t="s">
        <v>395</v>
      </c>
    </row>
    <row r="132" spans="1:1" hidden="1" x14ac:dyDescent="0.25">
      <c r="A132" s="643" t="s">
        <v>396</v>
      </c>
    </row>
    <row r="133" spans="1:1" hidden="1" x14ac:dyDescent="0.25">
      <c r="A133" s="643" t="s">
        <v>397</v>
      </c>
    </row>
    <row r="134" spans="1:1" hidden="1" x14ac:dyDescent="0.25">
      <c r="A134" s="643" t="s">
        <v>398</v>
      </c>
    </row>
    <row r="135" spans="1:1" hidden="1" x14ac:dyDescent="0.25">
      <c r="A135" s="726" t="s">
        <v>399</v>
      </c>
    </row>
    <row r="136" spans="1:1" hidden="1" x14ac:dyDescent="0.25">
      <c r="A136" s="726" t="s">
        <v>400</v>
      </c>
    </row>
    <row r="137" spans="1:1" hidden="1" x14ac:dyDescent="0.25">
      <c r="A137" s="726" t="s">
        <v>401</v>
      </c>
    </row>
    <row r="138" spans="1:1" hidden="1" x14ac:dyDescent="0.25">
      <c r="A138" s="726" t="s">
        <v>402</v>
      </c>
    </row>
    <row r="139" spans="1:1" hidden="1" x14ac:dyDescent="0.25">
      <c r="A139" s="726" t="s">
        <v>403</v>
      </c>
    </row>
    <row r="140" spans="1:1" hidden="1" x14ac:dyDescent="0.25">
      <c r="A140" s="726" t="s">
        <v>404</v>
      </c>
    </row>
    <row r="141" spans="1:1" hidden="1" x14ac:dyDescent="0.25">
      <c r="A141" s="726" t="s">
        <v>405</v>
      </c>
    </row>
    <row r="142" spans="1:1" hidden="1" x14ac:dyDescent="0.25">
      <c r="A142" s="726" t="s">
        <v>406</v>
      </c>
    </row>
    <row r="143" spans="1:1" hidden="1" x14ac:dyDescent="0.25">
      <c r="A143" s="726" t="s">
        <v>407</v>
      </c>
    </row>
    <row r="144" spans="1:1" hidden="1" x14ac:dyDescent="0.25">
      <c r="A144" s="726" t="s">
        <v>408</v>
      </c>
    </row>
    <row r="145" spans="1:1" hidden="1" x14ac:dyDescent="0.25">
      <c r="A145" s="726" t="s">
        <v>409</v>
      </c>
    </row>
    <row r="146" spans="1:1" hidden="1" x14ac:dyDescent="0.25">
      <c r="A146" s="726" t="s">
        <v>410</v>
      </c>
    </row>
    <row r="147" spans="1:1" hidden="1" x14ac:dyDescent="0.25">
      <c r="A147" s="726" t="s">
        <v>411</v>
      </c>
    </row>
    <row r="148" spans="1:1" hidden="1" x14ac:dyDescent="0.25">
      <c r="A148" s="726" t="s">
        <v>412</v>
      </c>
    </row>
    <row r="149" spans="1:1" hidden="1" x14ac:dyDescent="0.25">
      <c r="A149" s="726" t="s">
        <v>413</v>
      </c>
    </row>
    <row r="150" spans="1:1" hidden="1" x14ac:dyDescent="0.25">
      <c r="A150" s="726" t="s">
        <v>414</v>
      </c>
    </row>
    <row r="151" spans="1:1" hidden="1" x14ac:dyDescent="0.25">
      <c r="A151" s="726" t="s">
        <v>415</v>
      </c>
    </row>
    <row r="152" spans="1:1" hidden="1" x14ac:dyDescent="0.25">
      <c r="A152" s="726" t="s">
        <v>416</v>
      </c>
    </row>
    <row r="153" spans="1:1" hidden="1" x14ac:dyDescent="0.25">
      <c r="A153" s="726" t="s">
        <v>417</v>
      </c>
    </row>
    <row r="154" spans="1:1" hidden="1" x14ac:dyDescent="0.25">
      <c r="A154" s="726" t="s">
        <v>418</v>
      </c>
    </row>
    <row r="155" spans="1:1" hidden="1" x14ac:dyDescent="0.25">
      <c r="A155" s="726" t="s">
        <v>419</v>
      </c>
    </row>
    <row r="156" spans="1:1" hidden="1" x14ac:dyDescent="0.25">
      <c r="A156" s="726" t="s">
        <v>420</v>
      </c>
    </row>
    <row r="157" spans="1:1" hidden="1" x14ac:dyDescent="0.25">
      <c r="A157" s="726" t="s">
        <v>421</v>
      </c>
    </row>
    <row r="158" spans="1:1" hidden="1" x14ac:dyDescent="0.25">
      <c r="A158" s="726" t="s">
        <v>422</v>
      </c>
    </row>
    <row r="159" spans="1:1" hidden="1" x14ac:dyDescent="0.25">
      <c r="A159" s="726" t="s">
        <v>423</v>
      </c>
    </row>
    <row r="160" spans="1:1" hidden="1" x14ac:dyDescent="0.25">
      <c r="A160" s="726" t="s">
        <v>424</v>
      </c>
    </row>
    <row r="161" spans="1:1" hidden="1" x14ac:dyDescent="0.25">
      <c r="A161" s="726" t="s">
        <v>425</v>
      </c>
    </row>
    <row r="162" spans="1:1" hidden="1" x14ac:dyDescent="0.25">
      <c r="A162" s="726" t="s">
        <v>426</v>
      </c>
    </row>
    <row r="163" spans="1:1" hidden="1" x14ac:dyDescent="0.25">
      <c r="A163" s="726" t="s">
        <v>427</v>
      </c>
    </row>
    <row r="164" spans="1:1" hidden="1" x14ac:dyDescent="0.25">
      <c r="A164" s="726" t="s">
        <v>428</v>
      </c>
    </row>
    <row r="165" spans="1:1" hidden="1" x14ac:dyDescent="0.25">
      <c r="A165" s="726" t="s">
        <v>429</v>
      </c>
    </row>
    <row r="166" spans="1:1" hidden="1" x14ac:dyDescent="0.25">
      <c r="A166" s="726" t="s">
        <v>430</v>
      </c>
    </row>
    <row r="167" spans="1:1" hidden="1" x14ac:dyDescent="0.25">
      <c r="A167" s="726" t="s">
        <v>431</v>
      </c>
    </row>
    <row r="168" spans="1:1" hidden="1" x14ac:dyDescent="0.25">
      <c r="A168" s="726" t="s">
        <v>432</v>
      </c>
    </row>
    <row r="169" spans="1:1" hidden="1" x14ac:dyDescent="0.25">
      <c r="A169" s="726" t="s">
        <v>433</v>
      </c>
    </row>
    <row r="170" spans="1:1" hidden="1" x14ac:dyDescent="0.25">
      <c r="A170" s="726" t="s">
        <v>434</v>
      </c>
    </row>
    <row r="171" spans="1:1" hidden="1" x14ac:dyDescent="0.25">
      <c r="A171" s="726" t="s">
        <v>435</v>
      </c>
    </row>
    <row r="172" spans="1:1" hidden="1" x14ac:dyDescent="0.25">
      <c r="A172" s="726" t="s">
        <v>436</v>
      </c>
    </row>
    <row r="173" spans="1:1" hidden="1" x14ac:dyDescent="0.25">
      <c r="A173" s="726" t="s">
        <v>437</v>
      </c>
    </row>
    <row r="174" spans="1:1" hidden="1" x14ac:dyDescent="0.25">
      <c r="A174" s="726" t="s">
        <v>438</v>
      </c>
    </row>
    <row r="175" spans="1:1" hidden="1" x14ac:dyDescent="0.25">
      <c r="A175" s="726" t="s">
        <v>439</v>
      </c>
    </row>
    <row r="176" spans="1:1" hidden="1" x14ac:dyDescent="0.25">
      <c r="A176" s="726" t="s">
        <v>440</v>
      </c>
    </row>
    <row r="177" spans="1:1" hidden="1" x14ac:dyDescent="0.25">
      <c r="A177" s="726" t="s">
        <v>441</v>
      </c>
    </row>
    <row r="178" spans="1:1" hidden="1" x14ac:dyDescent="0.25">
      <c r="A178" s="726" t="s">
        <v>442</v>
      </c>
    </row>
    <row r="179" spans="1:1" hidden="1" x14ac:dyDescent="0.25">
      <c r="A179" s="726" t="s">
        <v>443</v>
      </c>
    </row>
    <row r="180" spans="1:1" hidden="1" x14ac:dyDescent="0.25">
      <c r="A180" s="726" t="s">
        <v>444</v>
      </c>
    </row>
    <row r="181" spans="1:1" hidden="1" x14ac:dyDescent="0.25">
      <c r="A181" s="726" t="s">
        <v>445</v>
      </c>
    </row>
    <row r="182" spans="1:1" hidden="1" x14ac:dyDescent="0.25">
      <c r="A182" s="726" t="s">
        <v>446</v>
      </c>
    </row>
    <row r="183" spans="1:1" hidden="1" x14ac:dyDescent="0.25">
      <c r="A183" s="726" t="s">
        <v>447</v>
      </c>
    </row>
    <row r="184" spans="1:1" hidden="1" x14ac:dyDescent="0.25">
      <c r="A184" s="726" t="s">
        <v>448</v>
      </c>
    </row>
    <row r="185" spans="1:1" hidden="1" x14ac:dyDescent="0.25">
      <c r="A185" s="726" t="s">
        <v>449</v>
      </c>
    </row>
    <row r="186" spans="1:1" hidden="1" x14ac:dyDescent="0.25">
      <c r="A186" s="726" t="s">
        <v>450</v>
      </c>
    </row>
    <row r="187" spans="1:1" hidden="1" x14ac:dyDescent="0.25">
      <c r="A187" s="726" t="s">
        <v>451</v>
      </c>
    </row>
    <row r="188" spans="1:1" hidden="1" x14ac:dyDescent="0.25">
      <c r="A188" s="726" t="s">
        <v>452</v>
      </c>
    </row>
    <row r="189" spans="1:1" hidden="1" x14ac:dyDescent="0.25">
      <c r="A189" s="726" t="s">
        <v>453</v>
      </c>
    </row>
    <row r="190" spans="1:1" hidden="1" x14ac:dyDescent="0.25">
      <c r="A190" s="726" t="s">
        <v>454</v>
      </c>
    </row>
    <row r="191" spans="1:1" hidden="1" x14ac:dyDescent="0.25">
      <c r="A191" s="726" t="s">
        <v>455</v>
      </c>
    </row>
    <row r="192" spans="1:1" hidden="1" x14ac:dyDescent="0.25">
      <c r="A192" s="726" t="s">
        <v>456</v>
      </c>
    </row>
    <row r="193" spans="1:1" hidden="1" x14ac:dyDescent="0.25">
      <c r="A193" s="726" t="s">
        <v>457</v>
      </c>
    </row>
    <row r="194" spans="1:1" hidden="1" x14ac:dyDescent="0.25">
      <c r="A194" s="726" t="s">
        <v>458</v>
      </c>
    </row>
    <row r="195" spans="1:1" hidden="1" x14ac:dyDescent="0.25">
      <c r="A195" s="726" t="s">
        <v>459</v>
      </c>
    </row>
    <row r="196" spans="1:1" hidden="1" x14ac:dyDescent="0.25">
      <c r="A196" s="726" t="s">
        <v>460</v>
      </c>
    </row>
    <row r="197" spans="1:1" hidden="1" x14ac:dyDescent="0.25">
      <c r="A197" s="726" t="s">
        <v>461</v>
      </c>
    </row>
    <row r="198" spans="1:1" hidden="1" x14ac:dyDescent="0.25">
      <c r="A198" s="726" t="s">
        <v>462</v>
      </c>
    </row>
    <row r="199" spans="1:1" hidden="1" x14ac:dyDescent="0.25">
      <c r="A199" s="726" t="s">
        <v>463</v>
      </c>
    </row>
    <row r="200" spans="1:1" hidden="1" x14ac:dyDescent="0.25">
      <c r="A200" s="726" t="s">
        <v>464</v>
      </c>
    </row>
    <row r="201" spans="1:1" hidden="1" x14ac:dyDescent="0.25">
      <c r="A201" s="726" t="s">
        <v>465</v>
      </c>
    </row>
    <row r="202" spans="1:1" hidden="1" x14ac:dyDescent="0.25">
      <c r="A202" s="726" t="s">
        <v>466</v>
      </c>
    </row>
    <row r="203" spans="1:1" hidden="1" x14ac:dyDescent="0.25">
      <c r="A203" s="726" t="s">
        <v>467</v>
      </c>
    </row>
    <row r="204" spans="1:1" hidden="1" x14ac:dyDescent="0.25">
      <c r="A204" s="726" t="s">
        <v>468</v>
      </c>
    </row>
    <row r="205" spans="1:1" hidden="1" x14ac:dyDescent="0.25">
      <c r="A205" s="726" t="s">
        <v>469</v>
      </c>
    </row>
    <row r="206" spans="1:1" hidden="1" x14ac:dyDescent="0.25">
      <c r="A206" s="726" t="s">
        <v>470</v>
      </c>
    </row>
    <row r="207" spans="1:1" hidden="1" x14ac:dyDescent="0.25">
      <c r="A207" s="726" t="s">
        <v>471</v>
      </c>
    </row>
    <row r="208" spans="1:1" hidden="1" x14ac:dyDescent="0.25">
      <c r="A208" s="726" t="s">
        <v>472</v>
      </c>
    </row>
    <row r="209" spans="1:1" hidden="1" x14ac:dyDescent="0.25">
      <c r="A209" s="726" t="s">
        <v>473</v>
      </c>
    </row>
    <row r="210" spans="1:1" hidden="1" x14ac:dyDescent="0.25">
      <c r="A210" s="726" t="s">
        <v>474</v>
      </c>
    </row>
    <row r="211" spans="1:1" hidden="1" x14ac:dyDescent="0.25">
      <c r="A211" s="726" t="s">
        <v>475</v>
      </c>
    </row>
    <row r="212" spans="1:1" hidden="1" x14ac:dyDescent="0.25">
      <c r="A212" s="726" t="s">
        <v>476</v>
      </c>
    </row>
    <row r="213" spans="1:1" hidden="1" x14ac:dyDescent="0.25">
      <c r="A213" s="726" t="s">
        <v>477</v>
      </c>
    </row>
    <row r="214" spans="1:1" hidden="1" x14ac:dyDescent="0.25">
      <c r="A214" s="726" t="s">
        <v>478</v>
      </c>
    </row>
    <row r="215" spans="1:1" hidden="1" x14ac:dyDescent="0.25">
      <c r="A215" s="726" t="s">
        <v>479</v>
      </c>
    </row>
    <row r="216" spans="1:1" hidden="1" x14ac:dyDescent="0.25">
      <c r="A216" s="726" t="s">
        <v>480</v>
      </c>
    </row>
    <row r="217" spans="1:1" hidden="1" x14ac:dyDescent="0.25">
      <c r="A217" s="726" t="s">
        <v>481</v>
      </c>
    </row>
    <row r="218" spans="1:1" hidden="1" x14ac:dyDescent="0.25">
      <c r="A218" s="726" t="s">
        <v>482</v>
      </c>
    </row>
    <row r="219" spans="1:1" hidden="1" x14ac:dyDescent="0.25">
      <c r="A219" s="726" t="s">
        <v>483</v>
      </c>
    </row>
    <row r="220" spans="1:1" hidden="1" x14ac:dyDescent="0.25">
      <c r="A220" s="726" t="s">
        <v>484</v>
      </c>
    </row>
    <row r="221" spans="1:1" hidden="1" x14ac:dyDescent="0.25">
      <c r="A221" s="726" t="s">
        <v>485</v>
      </c>
    </row>
    <row r="222" spans="1:1" hidden="1" x14ac:dyDescent="0.25">
      <c r="A222" s="726" t="s">
        <v>486</v>
      </c>
    </row>
    <row r="223" spans="1:1" hidden="1" x14ac:dyDescent="0.25">
      <c r="A223" s="726" t="s">
        <v>487</v>
      </c>
    </row>
    <row r="224" spans="1:1" hidden="1" x14ac:dyDescent="0.25">
      <c r="A224" s="726" t="s">
        <v>488</v>
      </c>
    </row>
    <row r="225" spans="1:1" hidden="1" x14ac:dyDescent="0.25">
      <c r="A225" s="726" t="s">
        <v>489</v>
      </c>
    </row>
    <row r="226" spans="1:1" hidden="1" x14ac:dyDescent="0.25">
      <c r="A226" s="726" t="s">
        <v>490</v>
      </c>
    </row>
    <row r="227" spans="1:1" hidden="1" x14ac:dyDescent="0.25">
      <c r="A227" s="726" t="s">
        <v>491</v>
      </c>
    </row>
    <row r="228" spans="1:1" hidden="1" x14ac:dyDescent="0.25">
      <c r="A228" s="726" t="s">
        <v>492</v>
      </c>
    </row>
    <row r="229" spans="1:1" hidden="1" x14ac:dyDescent="0.25">
      <c r="A229" s="726" t="s">
        <v>493</v>
      </c>
    </row>
    <row r="230" spans="1:1" hidden="1" x14ac:dyDescent="0.25">
      <c r="A230" s="726" t="s">
        <v>494</v>
      </c>
    </row>
    <row r="231" spans="1:1" hidden="1" x14ac:dyDescent="0.25">
      <c r="A231" s="726" t="s">
        <v>495</v>
      </c>
    </row>
    <row r="232" spans="1:1" hidden="1" x14ac:dyDescent="0.25">
      <c r="A232" s="726" t="s">
        <v>496</v>
      </c>
    </row>
    <row r="233" spans="1:1" hidden="1" x14ac:dyDescent="0.25">
      <c r="A233" s="726" t="s">
        <v>497</v>
      </c>
    </row>
    <row r="234" spans="1:1" hidden="1" x14ac:dyDescent="0.25">
      <c r="A234" s="726" t="s">
        <v>498</v>
      </c>
    </row>
    <row r="235" spans="1:1" hidden="1" x14ac:dyDescent="0.25">
      <c r="A235" s="726" t="s">
        <v>499</v>
      </c>
    </row>
    <row r="236" spans="1:1" hidden="1" x14ac:dyDescent="0.25">
      <c r="A236" s="726" t="s">
        <v>500</v>
      </c>
    </row>
    <row r="237" spans="1:1" hidden="1" x14ac:dyDescent="0.25">
      <c r="A237" s="726" t="s">
        <v>501</v>
      </c>
    </row>
    <row r="238" spans="1:1" hidden="1" x14ac:dyDescent="0.25">
      <c r="A238" s="726" t="s">
        <v>502</v>
      </c>
    </row>
    <row r="239" spans="1:1" hidden="1" x14ac:dyDescent="0.25">
      <c r="A239" s="726" t="s">
        <v>503</v>
      </c>
    </row>
    <row r="240" spans="1:1" hidden="1" x14ac:dyDescent="0.25">
      <c r="A240" s="726" t="s">
        <v>504</v>
      </c>
    </row>
    <row r="241" spans="1:1" hidden="1" x14ac:dyDescent="0.25">
      <c r="A241" s="726" t="s">
        <v>505</v>
      </c>
    </row>
    <row r="242" spans="1:1" hidden="1" x14ac:dyDescent="0.25">
      <c r="A242" s="726" t="s">
        <v>506</v>
      </c>
    </row>
    <row r="243" spans="1:1" hidden="1" x14ac:dyDescent="0.25">
      <c r="A243" s="726" t="s">
        <v>507</v>
      </c>
    </row>
    <row r="244" spans="1:1" hidden="1" x14ac:dyDescent="0.25">
      <c r="A244" s="726" t="s">
        <v>508</v>
      </c>
    </row>
    <row r="245" spans="1:1" hidden="1" x14ac:dyDescent="0.25">
      <c r="A245" s="726" t="s">
        <v>509</v>
      </c>
    </row>
    <row r="246" spans="1:1" hidden="1" x14ac:dyDescent="0.25">
      <c r="A246" s="726" t="s">
        <v>510</v>
      </c>
    </row>
    <row r="247" spans="1:1" hidden="1" x14ac:dyDescent="0.25">
      <c r="A247" s="726" t="s">
        <v>511</v>
      </c>
    </row>
    <row r="248" spans="1:1" hidden="1" x14ac:dyDescent="0.25">
      <c r="A248" s="726" t="s">
        <v>512</v>
      </c>
    </row>
    <row r="249" spans="1:1" hidden="1" x14ac:dyDescent="0.25">
      <c r="A249" s="726" t="s">
        <v>513</v>
      </c>
    </row>
    <row r="250" spans="1:1" hidden="1" x14ac:dyDescent="0.25">
      <c r="A250" s="726" t="s">
        <v>514</v>
      </c>
    </row>
    <row r="251" spans="1:1" hidden="1" x14ac:dyDescent="0.25">
      <c r="A251" s="726" t="s">
        <v>515</v>
      </c>
    </row>
    <row r="252" spans="1:1" hidden="1" x14ac:dyDescent="0.25">
      <c r="A252" s="726" t="s">
        <v>516</v>
      </c>
    </row>
    <row r="253" spans="1:1" hidden="1" x14ac:dyDescent="0.25">
      <c r="A253" s="726" t="s">
        <v>517</v>
      </c>
    </row>
    <row r="254" spans="1:1" hidden="1" x14ac:dyDescent="0.25">
      <c r="A254" s="726" t="s">
        <v>518</v>
      </c>
    </row>
    <row r="255" spans="1:1" hidden="1" x14ac:dyDescent="0.25">
      <c r="A255" s="726" t="s">
        <v>519</v>
      </c>
    </row>
    <row r="256" spans="1:1" hidden="1" x14ac:dyDescent="0.25">
      <c r="A256" s="726" t="s">
        <v>520</v>
      </c>
    </row>
    <row r="257" spans="1:1" hidden="1" x14ac:dyDescent="0.25">
      <c r="A257" s="726" t="s">
        <v>521</v>
      </c>
    </row>
    <row r="258" spans="1:1" hidden="1" x14ac:dyDescent="0.25">
      <c r="A258" s="726" t="s">
        <v>522</v>
      </c>
    </row>
    <row r="259" spans="1:1" hidden="1" x14ac:dyDescent="0.25">
      <c r="A259" s="726" t="s">
        <v>523</v>
      </c>
    </row>
    <row r="260" spans="1:1" hidden="1" x14ac:dyDescent="0.25">
      <c r="A260" s="726" t="s">
        <v>524</v>
      </c>
    </row>
    <row r="261" spans="1:1" hidden="1" x14ac:dyDescent="0.25">
      <c r="A261" s="726" t="s">
        <v>525</v>
      </c>
    </row>
    <row r="262" spans="1:1" hidden="1" x14ac:dyDescent="0.25">
      <c r="A262" s="726" t="s">
        <v>526</v>
      </c>
    </row>
    <row r="263" spans="1:1" hidden="1" x14ac:dyDescent="0.25">
      <c r="A263" s="726" t="s">
        <v>527</v>
      </c>
    </row>
    <row r="264" spans="1:1" hidden="1" x14ac:dyDescent="0.25">
      <c r="A264" s="726" t="s">
        <v>528</v>
      </c>
    </row>
    <row r="265" spans="1:1" hidden="1" x14ac:dyDescent="0.25">
      <c r="A265" s="726" t="s">
        <v>529</v>
      </c>
    </row>
    <row r="266" spans="1:1" hidden="1" x14ac:dyDescent="0.25">
      <c r="A266" s="726" t="s">
        <v>530</v>
      </c>
    </row>
    <row r="267" spans="1:1" hidden="1" x14ac:dyDescent="0.25">
      <c r="A267" s="726" t="s">
        <v>531</v>
      </c>
    </row>
    <row r="268" spans="1:1" hidden="1" x14ac:dyDescent="0.25">
      <c r="A268" s="726" t="s">
        <v>532</v>
      </c>
    </row>
    <row r="269" spans="1:1" hidden="1" x14ac:dyDescent="0.25">
      <c r="A269" s="726" t="s">
        <v>533</v>
      </c>
    </row>
    <row r="270" spans="1:1" hidden="1" x14ac:dyDescent="0.25">
      <c r="A270" s="726" t="s">
        <v>534</v>
      </c>
    </row>
    <row r="271" spans="1:1" hidden="1" x14ac:dyDescent="0.25">
      <c r="A271" s="726" t="s">
        <v>535</v>
      </c>
    </row>
    <row r="272" spans="1:1" hidden="1" x14ac:dyDescent="0.25">
      <c r="A272" s="726" t="s">
        <v>536</v>
      </c>
    </row>
    <row r="273" spans="1:1" hidden="1" x14ac:dyDescent="0.25">
      <c r="A273" s="726" t="s">
        <v>537</v>
      </c>
    </row>
    <row r="274" spans="1:1" hidden="1" x14ac:dyDescent="0.25">
      <c r="A274" s="726" t="s">
        <v>538</v>
      </c>
    </row>
    <row r="275" spans="1:1" hidden="1" x14ac:dyDescent="0.25">
      <c r="A275" s="726" t="s">
        <v>539</v>
      </c>
    </row>
    <row r="276" spans="1:1" hidden="1" x14ac:dyDescent="0.25">
      <c r="A276" s="726" t="s">
        <v>540</v>
      </c>
    </row>
    <row r="277" spans="1:1" hidden="1" x14ac:dyDescent="0.25">
      <c r="A277" s="726" t="s">
        <v>541</v>
      </c>
    </row>
    <row r="278" spans="1:1" hidden="1" x14ac:dyDescent="0.25">
      <c r="A278" s="726" t="s">
        <v>542</v>
      </c>
    </row>
    <row r="279" spans="1:1" hidden="1" x14ac:dyDescent="0.25">
      <c r="A279" s="726" t="s">
        <v>543</v>
      </c>
    </row>
    <row r="280" spans="1:1" hidden="1" x14ac:dyDescent="0.25">
      <c r="A280" s="726" t="s">
        <v>544</v>
      </c>
    </row>
    <row r="281" spans="1:1" hidden="1" x14ac:dyDescent="0.25">
      <c r="A281" s="726" t="s">
        <v>545</v>
      </c>
    </row>
    <row r="282" spans="1:1" hidden="1" x14ac:dyDescent="0.25">
      <c r="A282" s="726" t="s">
        <v>546</v>
      </c>
    </row>
    <row r="283" spans="1:1" hidden="1" x14ac:dyDescent="0.25">
      <c r="A283" s="726" t="s">
        <v>547</v>
      </c>
    </row>
    <row r="284" spans="1:1" hidden="1" x14ac:dyDescent="0.25">
      <c r="A284" s="726" t="s">
        <v>548</v>
      </c>
    </row>
    <row r="285" spans="1:1" hidden="1" x14ac:dyDescent="0.25">
      <c r="A285" s="726" t="s">
        <v>549</v>
      </c>
    </row>
    <row r="286" spans="1:1" hidden="1" x14ac:dyDescent="0.25">
      <c r="A286" s="726" t="s">
        <v>550</v>
      </c>
    </row>
    <row r="287" spans="1:1" hidden="1" x14ac:dyDescent="0.25">
      <c r="A287" s="726" t="s">
        <v>551</v>
      </c>
    </row>
    <row r="288" spans="1:1" hidden="1" x14ac:dyDescent="0.25">
      <c r="A288" s="726" t="s">
        <v>552</v>
      </c>
    </row>
    <row r="289" spans="1:1" hidden="1" x14ac:dyDescent="0.25">
      <c r="A289" s="726" t="s">
        <v>553</v>
      </c>
    </row>
    <row r="290" spans="1:1" hidden="1" x14ac:dyDescent="0.25">
      <c r="A290" s="726" t="s">
        <v>554</v>
      </c>
    </row>
    <row r="291" spans="1:1" hidden="1" x14ac:dyDescent="0.25">
      <c r="A291" s="726" t="s">
        <v>555</v>
      </c>
    </row>
    <row r="292" spans="1:1" hidden="1" x14ac:dyDescent="0.25">
      <c r="A292" s="726" t="s">
        <v>556</v>
      </c>
    </row>
    <row r="293" spans="1:1" hidden="1" x14ac:dyDescent="0.25">
      <c r="A293" s="726" t="s">
        <v>557</v>
      </c>
    </row>
    <row r="294" spans="1:1" hidden="1" x14ac:dyDescent="0.25">
      <c r="A294" s="726" t="s">
        <v>558</v>
      </c>
    </row>
    <row r="295" spans="1:1" hidden="1" x14ac:dyDescent="0.25">
      <c r="A295" s="726" t="s">
        <v>559</v>
      </c>
    </row>
    <row r="296" spans="1:1" hidden="1" x14ac:dyDescent="0.25">
      <c r="A296" s="726" t="s">
        <v>560</v>
      </c>
    </row>
    <row r="297" spans="1:1" hidden="1" x14ac:dyDescent="0.25">
      <c r="A297" s="726" t="s">
        <v>561</v>
      </c>
    </row>
    <row r="298" spans="1:1" hidden="1" x14ac:dyDescent="0.25">
      <c r="A298" s="726" t="s">
        <v>562</v>
      </c>
    </row>
    <row r="299" spans="1:1" hidden="1" x14ac:dyDescent="0.25">
      <c r="A299" s="726" t="s">
        <v>563</v>
      </c>
    </row>
    <row r="300" spans="1:1" hidden="1" x14ac:dyDescent="0.25">
      <c r="A300" s="726" t="s">
        <v>564</v>
      </c>
    </row>
    <row r="301" spans="1:1" hidden="1" x14ac:dyDescent="0.25">
      <c r="A301" s="726" t="s">
        <v>565</v>
      </c>
    </row>
    <row r="302" spans="1:1" hidden="1" x14ac:dyDescent="0.25">
      <c r="A302" s="726" t="s">
        <v>566</v>
      </c>
    </row>
    <row r="303" spans="1:1" hidden="1" x14ac:dyDescent="0.25">
      <c r="A303" s="726" t="s">
        <v>567</v>
      </c>
    </row>
    <row r="304" spans="1:1" hidden="1" x14ac:dyDescent="0.25">
      <c r="A304" s="726" t="s">
        <v>568</v>
      </c>
    </row>
    <row r="305" spans="1:1" hidden="1" x14ac:dyDescent="0.25">
      <c r="A305" s="726" t="s">
        <v>569</v>
      </c>
    </row>
    <row r="306" spans="1:1" hidden="1" x14ac:dyDescent="0.25">
      <c r="A306" s="726" t="s">
        <v>570</v>
      </c>
    </row>
    <row r="307" spans="1:1" hidden="1" x14ac:dyDescent="0.25">
      <c r="A307" s="726" t="s">
        <v>571</v>
      </c>
    </row>
    <row r="308" spans="1:1" hidden="1" x14ac:dyDescent="0.25">
      <c r="A308" s="726" t="s">
        <v>572</v>
      </c>
    </row>
    <row r="309" spans="1:1" hidden="1" x14ac:dyDescent="0.25">
      <c r="A309" s="726" t="s">
        <v>573</v>
      </c>
    </row>
    <row r="310" spans="1:1" hidden="1" x14ac:dyDescent="0.25">
      <c r="A310" s="726" t="s">
        <v>574</v>
      </c>
    </row>
    <row r="311" spans="1:1" hidden="1" x14ac:dyDescent="0.25">
      <c r="A311" s="726" t="s">
        <v>575</v>
      </c>
    </row>
    <row r="312" spans="1:1" hidden="1" x14ac:dyDescent="0.25">
      <c r="A312" s="726" t="s">
        <v>576</v>
      </c>
    </row>
    <row r="313" spans="1:1" hidden="1" x14ac:dyDescent="0.25">
      <c r="A313" s="726" t="s">
        <v>577</v>
      </c>
    </row>
    <row r="314" spans="1:1" hidden="1" x14ac:dyDescent="0.25">
      <c r="A314" s="726" t="s">
        <v>578</v>
      </c>
    </row>
    <row r="315" spans="1:1" hidden="1" x14ac:dyDescent="0.25">
      <c r="A315" s="726" t="s">
        <v>579</v>
      </c>
    </row>
    <row r="316" spans="1:1" hidden="1" x14ac:dyDescent="0.25">
      <c r="A316" s="726" t="s">
        <v>580</v>
      </c>
    </row>
    <row r="317" spans="1:1" hidden="1" x14ac:dyDescent="0.25">
      <c r="A317" s="726" t="s">
        <v>581</v>
      </c>
    </row>
    <row r="318" spans="1:1" hidden="1" x14ac:dyDescent="0.25">
      <c r="A318" s="726" t="s">
        <v>582</v>
      </c>
    </row>
    <row r="319" spans="1:1" hidden="1" x14ac:dyDescent="0.25">
      <c r="A319" s="726" t="s">
        <v>583</v>
      </c>
    </row>
    <row r="320" spans="1:1" hidden="1" x14ac:dyDescent="0.25">
      <c r="A320" s="726" t="s">
        <v>584</v>
      </c>
    </row>
    <row r="321" spans="1:1" hidden="1" x14ac:dyDescent="0.25">
      <c r="A321" s="726" t="s">
        <v>585</v>
      </c>
    </row>
    <row r="322" spans="1:1" hidden="1" x14ac:dyDescent="0.25">
      <c r="A322" s="726" t="s">
        <v>586</v>
      </c>
    </row>
    <row r="323" spans="1:1" hidden="1" x14ac:dyDescent="0.25">
      <c r="A323" s="726" t="s">
        <v>587</v>
      </c>
    </row>
    <row r="324" spans="1:1" hidden="1" x14ac:dyDescent="0.25">
      <c r="A324" s="726" t="s">
        <v>588</v>
      </c>
    </row>
    <row r="325" spans="1:1" hidden="1" x14ac:dyDescent="0.25">
      <c r="A325" s="726" t="s">
        <v>589</v>
      </c>
    </row>
    <row r="326" spans="1:1" hidden="1" x14ac:dyDescent="0.25">
      <c r="A326" s="726" t="s">
        <v>590</v>
      </c>
    </row>
    <row r="327" spans="1:1" hidden="1" x14ac:dyDescent="0.25">
      <c r="A327" s="726" t="s">
        <v>591</v>
      </c>
    </row>
    <row r="328" spans="1:1" hidden="1" x14ac:dyDescent="0.25">
      <c r="A328" s="726" t="s">
        <v>592</v>
      </c>
    </row>
    <row r="329" spans="1:1" hidden="1" x14ac:dyDescent="0.25">
      <c r="A329" s="726" t="s">
        <v>593</v>
      </c>
    </row>
    <row r="330" spans="1:1" hidden="1" x14ac:dyDescent="0.25">
      <c r="A330" s="726" t="s">
        <v>594</v>
      </c>
    </row>
    <row r="331" spans="1:1" hidden="1" x14ac:dyDescent="0.25">
      <c r="A331" s="726" t="s">
        <v>595</v>
      </c>
    </row>
    <row r="332" spans="1:1" hidden="1" x14ac:dyDescent="0.25">
      <c r="A332" s="726" t="s">
        <v>596</v>
      </c>
    </row>
    <row r="333" spans="1:1" hidden="1" x14ac:dyDescent="0.25">
      <c r="A333" s="726" t="s">
        <v>597</v>
      </c>
    </row>
    <row r="334" spans="1:1" hidden="1" x14ac:dyDescent="0.25">
      <c r="A334" s="726" t="s">
        <v>598</v>
      </c>
    </row>
    <row r="335" spans="1:1" hidden="1" x14ac:dyDescent="0.25">
      <c r="A335" s="726" t="s">
        <v>599</v>
      </c>
    </row>
    <row r="336" spans="1:1" hidden="1" x14ac:dyDescent="0.25">
      <c r="A336" s="726" t="s">
        <v>600</v>
      </c>
    </row>
    <row r="337" spans="1:1" hidden="1" x14ac:dyDescent="0.25">
      <c r="A337" s="726" t="s">
        <v>601</v>
      </c>
    </row>
    <row r="338" spans="1:1" hidden="1" x14ac:dyDescent="0.25">
      <c r="A338" s="726" t="s">
        <v>602</v>
      </c>
    </row>
    <row r="339" spans="1:1" hidden="1" x14ac:dyDescent="0.25">
      <c r="A339" s="726" t="s">
        <v>603</v>
      </c>
    </row>
    <row r="340" spans="1:1" hidden="1" x14ac:dyDescent="0.25">
      <c r="A340" s="726" t="s">
        <v>604</v>
      </c>
    </row>
    <row r="341" spans="1:1" hidden="1" x14ac:dyDescent="0.25">
      <c r="A341" s="726" t="s">
        <v>605</v>
      </c>
    </row>
    <row r="342" spans="1:1" hidden="1" x14ac:dyDescent="0.25">
      <c r="A342" s="726" t="s">
        <v>606</v>
      </c>
    </row>
    <row r="343" spans="1:1" hidden="1" x14ac:dyDescent="0.25">
      <c r="A343" s="726" t="s">
        <v>607</v>
      </c>
    </row>
    <row r="344" spans="1:1" hidden="1" x14ac:dyDescent="0.25">
      <c r="A344" s="726" t="s">
        <v>608</v>
      </c>
    </row>
    <row r="345" spans="1:1" hidden="1" x14ac:dyDescent="0.25">
      <c r="A345" s="726" t="s">
        <v>609</v>
      </c>
    </row>
    <row r="346" spans="1:1" hidden="1" x14ac:dyDescent="0.25">
      <c r="A346" s="726" t="s">
        <v>610</v>
      </c>
    </row>
    <row r="347" spans="1:1" hidden="1" x14ac:dyDescent="0.25">
      <c r="A347" s="726" t="s">
        <v>611</v>
      </c>
    </row>
    <row r="348" spans="1:1" hidden="1" x14ac:dyDescent="0.25">
      <c r="A348" s="726" t="s">
        <v>612</v>
      </c>
    </row>
    <row r="349" spans="1:1" hidden="1" x14ac:dyDescent="0.25">
      <c r="A349" s="726" t="s">
        <v>613</v>
      </c>
    </row>
    <row r="350" spans="1:1" hidden="1" x14ac:dyDescent="0.25">
      <c r="A350" s="726" t="s">
        <v>614</v>
      </c>
    </row>
    <row r="351" spans="1:1" hidden="1" x14ac:dyDescent="0.25">
      <c r="A351" s="726" t="s">
        <v>615</v>
      </c>
    </row>
    <row r="352" spans="1:1" hidden="1" x14ac:dyDescent="0.25">
      <c r="A352" s="726" t="s">
        <v>616</v>
      </c>
    </row>
    <row r="353" spans="1:1" hidden="1" x14ac:dyDescent="0.25">
      <c r="A353" s="726" t="s">
        <v>617</v>
      </c>
    </row>
    <row r="354" spans="1:1" hidden="1" x14ac:dyDescent="0.25">
      <c r="A354" s="726" t="s">
        <v>618</v>
      </c>
    </row>
    <row r="355" spans="1:1" hidden="1" x14ac:dyDescent="0.25">
      <c r="A355" s="726" t="s">
        <v>619</v>
      </c>
    </row>
    <row r="356" spans="1:1" hidden="1" x14ac:dyDescent="0.25">
      <c r="A356" s="726" t="s">
        <v>620</v>
      </c>
    </row>
    <row r="357" spans="1:1" hidden="1" x14ac:dyDescent="0.25">
      <c r="A357" s="726" t="s">
        <v>621</v>
      </c>
    </row>
    <row r="358" spans="1:1" hidden="1" x14ac:dyDescent="0.25">
      <c r="A358" s="726" t="s">
        <v>622</v>
      </c>
    </row>
    <row r="359" spans="1:1" hidden="1" x14ac:dyDescent="0.25">
      <c r="A359" s="726" t="s">
        <v>623</v>
      </c>
    </row>
    <row r="360" spans="1:1" hidden="1" x14ac:dyDescent="0.25">
      <c r="A360" s="726" t="s">
        <v>624</v>
      </c>
    </row>
    <row r="361" spans="1:1" hidden="1" x14ac:dyDescent="0.25">
      <c r="A361" s="726" t="s">
        <v>625</v>
      </c>
    </row>
    <row r="362" spans="1:1" hidden="1" x14ac:dyDescent="0.25">
      <c r="A362" s="726" t="s">
        <v>626</v>
      </c>
    </row>
    <row r="363" spans="1:1" hidden="1" x14ac:dyDescent="0.25">
      <c r="A363" s="726" t="s">
        <v>627</v>
      </c>
    </row>
    <row r="364" spans="1:1" hidden="1" x14ac:dyDescent="0.25">
      <c r="A364" s="726" t="s">
        <v>628</v>
      </c>
    </row>
    <row r="365" spans="1:1" hidden="1" x14ac:dyDescent="0.25">
      <c r="A365" s="726" t="s">
        <v>629</v>
      </c>
    </row>
    <row r="366" spans="1:1" hidden="1" x14ac:dyDescent="0.25">
      <c r="A366" s="726" t="s">
        <v>630</v>
      </c>
    </row>
    <row r="367" spans="1:1" hidden="1" x14ac:dyDescent="0.25">
      <c r="A367" s="726" t="s">
        <v>631</v>
      </c>
    </row>
    <row r="368" spans="1:1" hidden="1" x14ac:dyDescent="0.25">
      <c r="A368" s="726" t="s">
        <v>632</v>
      </c>
    </row>
    <row r="369" spans="1:1" hidden="1" x14ac:dyDescent="0.25">
      <c r="A369" s="726" t="s">
        <v>633</v>
      </c>
    </row>
    <row r="370" spans="1:1" hidden="1" x14ac:dyDescent="0.25">
      <c r="A370" s="726" t="s">
        <v>634</v>
      </c>
    </row>
    <row r="371" spans="1:1" hidden="1" x14ac:dyDescent="0.25">
      <c r="A371" s="726" t="s">
        <v>635</v>
      </c>
    </row>
    <row r="372" spans="1:1" hidden="1" x14ac:dyDescent="0.25">
      <c r="A372" s="726" t="s">
        <v>636</v>
      </c>
    </row>
    <row r="373" spans="1:1" hidden="1" x14ac:dyDescent="0.25">
      <c r="A373" s="726" t="s">
        <v>637</v>
      </c>
    </row>
    <row r="374" spans="1:1" hidden="1" x14ac:dyDescent="0.25">
      <c r="A374" s="726" t="s">
        <v>638</v>
      </c>
    </row>
    <row r="375" spans="1:1" hidden="1" x14ac:dyDescent="0.25">
      <c r="A375" s="726" t="s">
        <v>639</v>
      </c>
    </row>
    <row r="376" spans="1:1" hidden="1" x14ac:dyDescent="0.25">
      <c r="A376" s="726" t="s">
        <v>640</v>
      </c>
    </row>
    <row r="377" spans="1:1" hidden="1" x14ac:dyDescent="0.25">
      <c r="A377" s="726" t="s">
        <v>641</v>
      </c>
    </row>
    <row r="378" spans="1:1" hidden="1" x14ac:dyDescent="0.25">
      <c r="A378" s="726" t="s">
        <v>642</v>
      </c>
    </row>
    <row r="379" spans="1:1" hidden="1" x14ac:dyDescent="0.25">
      <c r="A379" s="726" t="s">
        <v>643</v>
      </c>
    </row>
    <row r="380" spans="1:1" hidden="1" x14ac:dyDescent="0.25">
      <c r="A380" s="726" t="s">
        <v>644</v>
      </c>
    </row>
    <row r="381" spans="1:1" hidden="1" x14ac:dyDescent="0.25">
      <c r="A381" s="726" t="s">
        <v>645</v>
      </c>
    </row>
    <row r="382" spans="1:1" hidden="1" x14ac:dyDescent="0.25">
      <c r="A382" s="726" t="s">
        <v>646</v>
      </c>
    </row>
    <row r="383" spans="1:1" hidden="1" x14ac:dyDescent="0.25">
      <c r="A383" s="726" t="s">
        <v>647</v>
      </c>
    </row>
    <row r="384" spans="1:1" hidden="1" x14ac:dyDescent="0.25">
      <c r="A384" s="726" t="s">
        <v>648</v>
      </c>
    </row>
    <row r="385" spans="1:1" hidden="1" x14ac:dyDescent="0.25">
      <c r="A385" s="726" t="s">
        <v>303</v>
      </c>
    </row>
    <row r="386" spans="1:1" hidden="1" x14ac:dyDescent="0.25">
      <c r="A386" s="726" t="s">
        <v>649</v>
      </c>
    </row>
    <row r="387" spans="1:1" hidden="1" x14ac:dyDescent="0.25">
      <c r="A387" s="726" t="s">
        <v>650</v>
      </c>
    </row>
    <row r="388" spans="1:1" hidden="1" x14ac:dyDescent="0.25">
      <c r="A388" s="726" t="s">
        <v>651</v>
      </c>
    </row>
    <row r="389" spans="1:1" hidden="1" x14ac:dyDescent="0.25">
      <c r="A389" s="726" t="s">
        <v>652</v>
      </c>
    </row>
    <row r="390" spans="1:1" hidden="1" x14ac:dyDescent="0.25">
      <c r="A390" s="726" t="s">
        <v>653</v>
      </c>
    </row>
    <row r="391" spans="1:1" hidden="1" x14ac:dyDescent="0.25">
      <c r="A391" s="726" t="s">
        <v>654</v>
      </c>
    </row>
    <row r="392" spans="1:1" hidden="1" x14ac:dyDescent="0.25">
      <c r="A392" s="726" t="s">
        <v>655</v>
      </c>
    </row>
    <row r="393" spans="1:1" hidden="1" x14ac:dyDescent="0.25">
      <c r="A393" s="726" t="s">
        <v>656</v>
      </c>
    </row>
  </sheetData>
  <mergeCells count="36">
    <mergeCell ref="D55:O55"/>
    <mergeCell ref="M60:P60"/>
    <mergeCell ref="A13:D13"/>
    <mergeCell ref="E13:G13"/>
    <mergeCell ref="H13:J13"/>
    <mergeCell ref="K13:M13"/>
    <mergeCell ref="A15:D15"/>
    <mergeCell ref="E15:G15"/>
    <mergeCell ref="H15:J15"/>
    <mergeCell ref="K15:M15"/>
    <mergeCell ref="A14:D14"/>
    <mergeCell ref="E14:G14"/>
    <mergeCell ref="H14:J14"/>
    <mergeCell ref="K14:M14"/>
    <mergeCell ref="N14:P14"/>
    <mergeCell ref="A1:P1"/>
    <mergeCell ref="A2:P2"/>
    <mergeCell ref="E6:P6"/>
    <mergeCell ref="B8:O8"/>
    <mergeCell ref="B10:O10"/>
    <mergeCell ref="H64:P64"/>
    <mergeCell ref="E12:G12"/>
    <mergeCell ref="H12:J12"/>
    <mergeCell ref="K12:M12"/>
    <mergeCell ref="N12:P12"/>
    <mergeCell ref="N13:P13"/>
    <mergeCell ref="N15:P15"/>
    <mergeCell ref="A37:E37"/>
    <mergeCell ref="D42:O42"/>
    <mergeCell ref="D44:O44"/>
    <mergeCell ref="D45:O45"/>
    <mergeCell ref="D46:O47"/>
    <mergeCell ref="B49:L50"/>
    <mergeCell ref="M49:M50"/>
    <mergeCell ref="D53:O53"/>
    <mergeCell ref="D54:O54"/>
  </mergeCells>
  <dataValidations count="2">
    <dataValidation type="list" allowBlank="1" showInputMessage="1" showErrorMessage="1" sqref="E11 E7" xr:uid="{B5C34C21-FF55-49D4-9A5A-9E272E385209}">
      <formula1>$A$72:$A$126</formula1>
    </dataValidation>
    <dataValidation type="list" allowBlank="1" showInputMessage="1" showErrorMessage="1" sqref="E6:P6" xr:uid="{92F59D6B-FBEE-4B2E-89BE-BCF480939502}">
      <formula1>$A$72:$A$393</formula1>
    </dataValidation>
  </dataValidations>
  <hyperlinks>
    <hyperlink ref="E68" r:id="rId1" display="mailto:parish.precepts@somerset.gov.uk" xr:uid="{99126EDB-6934-49ED-94F2-E28067F2DF3D}"/>
  </hyperlinks>
  <pageMargins left="0.7" right="0.7" top="0.75" bottom="0.75" header="0.3" footer="0.3"/>
  <pageSetup paperSize="9" scale="68"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13"/>
  <sheetViews>
    <sheetView workbookViewId="0">
      <pane xSplit="1" ySplit="1" topLeftCell="M2" activePane="bottomRight" state="frozen"/>
      <selection pane="topRight" activeCell="C1" sqref="C1"/>
      <selection pane="bottomLeft" activeCell="A2" sqref="A2"/>
      <selection pane="bottomRight" activeCell="N18" sqref="N18"/>
    </sheetView>
  </sheetViews>
  <sheetFormatPr defaultColWidth="8.88671875" defaultRowHeight="16.2" customHeight="1" x14ac:dyDescent="0.2"/>
  <cols>
    <col min="1" max="1" width="23.88671875" style="6" customWidth="1"/>
    <col min="2" max="6" width="8.33203125" style="6" hidden="1" customWidth="1"/>
    <col min="7" max="7" width="10.6640625" style="6" hidden="1" customWidth="1"/>
    <col min="8" max="8" width="8.33203125" style="6" hidden="1" customWidth="1"/>
    <col min="9" max="9" width="12.5546875" style="6" hidden="1" customWidth="1"/>
    <col min="10" max="10" width="11.44140625" style="6" customWidth="1"/>
    <col min="11" max="13" width="10.6640625" style="6" bestFit="1" customWidth="1"/>
    <col min="14" max="14" width="10.109375" style="6" bestFit="1" customWidth="1"/>
    <col min="15" max="15" width="13.44140625" style="6" bestFit="1" customWidth="1"/>
    <col min="16" max="16" width="11.44140625" style="6" bestFit="1" customWidth="1"/>
    <col min="17" max="17" width="11.109375" style="6" bestFit="1" customWidth="1"/>
    <col min="18" max="18" width="10.109375" style="6" bestFit="1" customWidth="1"/>
    <col min="19" max="19" width="11.109375" style="6" bestFit="1" customWidth="1"/>
    <col min="20" max="20" width="10.109375" style="6" bestFit="1" customWidth="1"/>
    <col min="21" max="21" width="11.109375" style="6" bestFit="1" customWidth="1"/>
    <col min="22" max="22" width="10.109375" style="6" bestFit="1" customWidth="1"/>
    <col min="23" max="23" width="11.109375" style="6" customWidth="1"/>
    <col min="24" max="24" width="10.109375" style="6" bestFit="1" customWidth="1"/>
    <col min="25" max="25" width="11.88671875" style="6" customWidth="1"/>
    <col min="26" max="26" width="12.6640625" style="6" customWidth="1"/>
    <col min="27" max="27" width="12.109375" style="6" customWidth="1"/>
    <col min="28" max="16384" width="8.88671875" style="6"/>
  </cols>
  <sheetData>
    <row r="2" spans="1:27" ht="16.2" customHeight="1" x14ac:dyDescent="0.25">
      <c r="B2" s="207" t="s">
        <v>189</v>
      </c>
      <c r="C2" s="211" t="s">
        <v>189</v>
      </c>
      <c r="D2" s="207" t="s">
        <v>188</v>
      </c>
      <c r="E2" s="211" t="s">
        <v>188</v>
      </c>
      <c r="F2" s="207" t="s">
        <v>187</v>
      </c>
      <c r="G2" s="211" t="s">
        <v>187</v>
      </c>
      <c r="H2" s="207" t="s">
        <v>0</v>
      </c>
      <c r="I2" s="211" t="s">
        <v>0</v>
      </c>
      <c r="J2" s="381" t="s">
        <v>1</v>
      </c>
      <c r="K2" s="382" t="s">
        <v>1</v>
      </c>
      <c r="L2" s="381" t="s">
        <v>2</v>
      </c>
      <c r="M2" s="383" t="s">
        <v>2</v>
      </c>
      <c r="N2" s="381" t="s">
        <v>4</v>
      </c>
      <c r="O2" s="383" t="s">
        <v>3</v>
      </c>
      <c r="P2" s="381" t="s">
        <v>5</v>
      </c>
      <c r="Q2" s="383" t="s">
        <v>5</v>
      </c>
      <c r="R2" s="381" t="s">
        <v>156</v>
      </c>
      <c r="S2" s="383" t="s">
        <v>156</v>
      </c>
      <c r="T2" s="384" t="s">
        <v>161</v>
      </c>
      <c r="U2" s="385" t="s">
        <v>161</v>
      </c>
      <c r="V2" s="384" t="s">
        <v>216</v>
      </c>
      <c r="W2" s="385" t="s">
        <v>216</v>
      </c>
      <c r="X2" s="536" t="s">
        <v>662</v>
      </c>
      <c r="Y2" s="382" t="s">
        <v>662</v>
      </c>
      <c r="Z2" s="536" t="s">
        <v>272</v>
      </c>
      <c r="AA2" s="382" t="s">
        <v>272</v>
      </c>
    </row>
    <row r="3" spans="1:27" ht="16.2" customHeight="1" x14ac:dyDescent="0.25">
      <c r="B3" s="207" t="s">
        <v>6</v>
      </c>
      <c r="C3" s="212" t="s">
        <v>186</v>
      </c>
      <c r="D3" s="207" t="s">
        <v>6</v>
      </c>
      <c r="E3" s="212" t="s">
        <v>186</v>
      </c>
      <c r="F3" s="207" t="s">
        <v>6</v>
      </c>
      <c r="G3" s="212" t="s">
        <v>186</v>
      </c>
      <c r="H3" s="207" t="s">
        <v>6</v>
      </c>
      <c r="I3" s="212" t="s">
        <v>186</v>
      </c>
      <c r="J3" s="386" t="s">
        <v>6</v>
      </c>
      <c r="K3" s="387" t="s">
        <v>186</v>
      </c>
      <c r="L3" s="381" t="s">
        <v>6</v>
      </c>
      <c r="M3" s="387" t="s">
        <v>186</v>
      </c>
      <c r="N3" s="381" t="s">
        <v>6</v>
      </c>
      <c r="O3" s="387" t="s">
        <v>186</v>
      </c>
      <c r="P3" s="381" t="s">
        <v>6</v>
      </c>
      <c r="Q3" s="387" t="s">
        <v>186</v>
      </c>
      <c r="R3" s="381" t="s">
        <v>6</v>
      </c>
      <c r="S3" s="387" t="s">
        <v>186</v>
      </c>
      <c r="T3" s="384" t="s">
        <v>6</v>
      </c>
      <c r="U3" s="387" t="s">
        <v>186</v>
      </c>
      <c r="V3" s="384" t="s">
        <v>6</v>
      </c>
      <c r="W3" s="385" t="s">
        <v>186</v>
      </c>
      <c r="X3" s="536" t="s">
        <v>6</v>
      </c>
      <c r="Y3" s="382" t="s">
        <v>186</v>
      </c>
      <c r="Z3" s="536" t="s">
        <v>6</v>
      </c>
      <c r="AA3" s="382" t="s">
        <v>186</v>
      </c>
    </row>
    <row r="4" spans="1:27" ht="16.2" customHeight="1" x14ac:dyDescent="0.25">
      <c r="B4" s="208">
        <v>25000</v>
      </c>
      <c r="C4" s="213">
        <v>49861.36</v>
      </c>
      <c r="D4" s="220">
        <v>28083</v>
      </c>
      <c r="E4" s="218">
        <v>63022.02</v>
      </c>
      <c r="F4" s="220">
        <v>29000</v>
      </c>
      <c r="G4" s="218">
        <v>63574.97</v>
      </c>
      <c r="H4" s="220">
        <v>30350</v>
      </c>
      <c r="I4" s="218">
        <v>66597.62</v>
      </c>
      <c r="J4" s="388">
        <v>46050</v>
      </c>
      <c r="K4" s="389">
        <v>72082.86</v>
      </c>
      <c r="L4" s="388">
        <v>50655</v>
      </c>
      <c r="M4" s="390">
        <v>61571.44</v>
      </c>
      <c r="N4" s="391">
        <v>56490</v>
      </c>
      <c r="O4" s="392">
        <v>90611.45</v>
      </c>
      <c r="P4" s="393">
        <v>58937</v>
      </c>
      <c r="Q4" s="392">
        <v>109862.57</v>
      </c>
      <c r="R4" s="388">
        <v>62000</v>
      </c>
      <c r="S4" s="389">
        <v>134329.57999999999</v>
      </c>
      <c r="T4" s="388">
        <v>63770</v>
      </c>
      <c r="U4" s="389">
        <v>597647.65</v>
      </c>
      <c r="V4" s="394">
        <v>65400</v>
      </c>
      <c r="W4" s="395"/>
      <c r="X4" s="394">
        <v>62000</v>
      </c>
      <c r="Y4" s="395"/>
      <c r="Z4" s="394"/>
      <c r="AA4" s="395"/>
    </row>
    <row r="5" spans="1:27" ht="16.2" customHeight="1" x14ac:dyDescent="0.25">
      <c r="B5" s="208"/>
      <c r="C5" s="213"/>
      <c r="D5" s="220"/>
      <c r="E5" s="218"/>
      <c r="F5" s="220"/>
      <c r="G5" s="218"/>
      <c r="H5" s="220"/>
      <c r="I5" s="218"/>
      <c r="J5" s="396"/>
      <c r="K5" s="392"/>
      <c r="L5" s="391"/>
      <c r="M5" s="390"/>
      <c r="N5" s="391"/>
      <c r="O5" s="392"/>
      <c r="P5" s="388"/>
      <c r="Q5" s="392"/>
      <c r="R5" s="388"/>
      <c r="S5" s="389"/>
      <c r="T5" s="388"/>
      <c r="U5" s="389"/>
      <c r="V5" s="394"/>
      <c r="W5" s="395"/>
      <c r="X5" s="208"/>
      <c r="Y5" s="213"/>
      <c r="Z5" s="208"/>
      <c r="AA5" s="213"/>
    </row>
    <row r="6" spans="1:27" ht="16.2" customHeight="1" x14ac:dyDescent="0.25">
      <c r="A6" s="8" t="s">
        <v>7</v>
      </c>
      <c r="B6" s="208"/>
      <c r="C6" s="213"/>
      <c r="D6" s="220"/>
      <c r="E6" s="218"/>
      <c r="F6" s="220"/>
      <c r="G6" s="218"/>
      <c r="H6" s="220"/>
      <c r="I6" s="218"/>
      <c r="J6" s="396"/>
      <c r="K6" s="392"/>
      <c r="L6" s="391"/>
      <c r="M6" s="390"/>
      <c r="N6" s="391"/>
      <c r="O6" s="392"/>
      <c r="P6" s="388"/>
      <c r="Q6" s="392"/>
      <c r="R6" s="388"/>
      <c r="S6" s="389"/>
      <c r="T6" s="388"/>
      <c r="U6" s="389"/>
      <c r="V6" s="394"/>
      <c r="W6" s="395"/>
      <c r="X6" s="208"/>
      <c r="Y6" s="213"/>
      <c r="Z6" s="208"/>
      <c r="AA6" s="213"/>
    </row>
    <row r="7" spans="1:27" ht="16.2" customHeight="1" thickBot="1" x14ac:dyDescent="0.3">
      <c r="B7" s="209">
        <f t="shared" ref="B7:AA7" si="0">SUM(B4:B6)</f>
        <v>25000</v>
      </c>
      <c r="C7" s="214">
        <f t="shared" si="0"/>
        <v>49861.36</v>
      </c>
      <c r="D7" s="209">
        <f t="shared" si="0"/>
        <v>28083</v>
      </c>
      <c r="E7" s="214">
        <f t="shared" si="0"/>
        <v>63022.02</v>
      </c>
      <c r="F7" s="209">
        <f t="shared" si="0"/>
        <v>29000</v>
      </c>
      <c r="G7" s="214">
        <f t="shared" si="0"/>
        <v>63574.97</v>
      </c>
      <c r="H7" s="209">
        <f t="shared" si="0"/>
        <v>30350</v>
      </c>
      <c r="I7" s="214">
        <f t="shared" si="0"/>
        <v>66597.62</v>
      </c>
      <c r="J7" s="397">
        <f t="shared" si="0"/>
        <v>46050</v>
      </c>
      <c r="K7" s="398">
        <f t="shared" si="0"/>
        <v>72082.86</v>
      </c>
      <c r="L7" s="397">
        <f t="shared" si="0"/>
        <v>50655</v>
      </c>
      <c r="M7" s="398">
        <f t="shared" si="0"/>
        <v>61571.44</v>
      </c>
      <c r="N7" s="399">
        <f t="shared" si="0"/>
        <v>56490</v>
      </c>
      <c r="O7" s="400">
        <f t="shared" si="0"/>
        <v>90611.45</v>
      </c>
      <c r="P7" s="399">
        <f t="shared" si="0"/>
        <v>58937</v>
      </c>
      <c r="Q7" s="400">
        <f t="shared" si="0"/>
        <v>109862.57</v>
      </c>
      <c r="R7" s="399">
        <f t="shared" si="0"/>
        <v>62000</v>
      </c>
      <c r="S7" s="400">
        <f t="shared" si="0"/>
        <v>134329.57999999999</v>
      </c>
      <c r="T7" s="399">
        <f t="shared" si="0"/>
        <v>63770</v>
      </c>
      <c r="U7" s="400">
        <f t="shared" si="0"/>
        <v>597647.65</v>
      </c>
      <c r="V7" s="399">
        <v>65400</v>
      </c>
      <c r="W7" s="400">
        <f t="shared" si="0"/>
        <v>0</v>
      </c>
      <c r="X7" s="399">
        <f t="shared" si="0"/>
        <v>62000</v>
      </c>
      <c r="Y7" s="400">
        <f t="shared" si="0"/>
        <v>0</v>
      </c>
      <c r="Z7" s="399">
        <v>66500</v>
      </c>
      <c r="AA7" s="400">
        <f t="shared" si="0"/>
        <v>0</v>
      </c>
    </row>
    <row r="8" spans="1:27" ht="16.2" customHeight="1" thickTop="1" x14ac:dyDescent="0.25">
      <c r="B8" s="208"/>
      <c r="C8" s="215"/>
      <c r="D8" s="210"/>
      <c r="E8" s="219"/>
      <c r="F8" s="223"/>
      <c r="G8" s="219"/>
      <c r="H8" s="210"/>
      <c r="I8" s="213"/>
      <c r="J8" s="391"/>
      <c r="K8" s="395"/>
      <c r="L8" s="394"/>
      <c r="M8" s="395"/>
      <c r="N8" s="394"/>
      <c r="O8" s="395"/>
      <c r="P8" s="394"/>
      <c r="Q8" s="395"/>
      <c r="R8" s="394"/>
      <c r="S8" s="395"/>
      <c r="T8" s="394"/>
      <c r="U8" s="395"/>
      <c r="V8" s="394"/>
      <c r="W8" s="395"/>
      <c r="X8" s="208"/>
      <c r="Y8" s="213"/>
      <c r="Z8" s="208"/>
      <c r="AA8" s="213"/>
    </row>
    <row r="9" spans="1:27" ht="16.2" customHeight="1" x14ac:dyDescent="0.25">
      <c r="A9" s="8" t="s">
        <v>8</v>
      </c>
      <c r="B9" s="208"/>
      <c r="C9" s="216"/>
      <c r="D9" s="221">
        <f t="shared" ref="D9:Q9" si="1">D7-B7</f>
        <v>3083</v>
      </c>
      <c r="E9" s="216">
        <f t="shared" si="1"/>
        <v>13160.659999999996</v>
      </c>
      <c r="F9" s="221">
        <f t="shared" si="1"/>
        <v>917</v>
      </c>
      <c r="G9" s="216">
        <f t="shared" si="1"/>
        <v>552.95000000000437</v>
      </c>
      <c r="H9" s="221">
        <f t="shared" si="1"/>
        <v>1350</v>
      </c>
      <c r="I9" s="216">
        <f t="shared" si="1"/>
        <v>3022.6499999999942</v>
      </c>
      <c r="J9" s="401">
        <f t="shared" si="1"/>
        <v>15700</v>
      </c>
      <c r="K9" s="402">
        <f t="shared" si="1"/>
        <v>5485.2400000000052</v>
      </c>
      <c r="L9" s="401">
        <f t="shared" si="1"/>
        <v>4605</v>
      </c>
      <c r="M9" s="402">
        <f t="shared" si="1"/>
        <v>-10511.419999999998</v>
      </c>
      <c r="N9" s="401">
        <f t="shared" si="1"/>
        <v>5835</v>
      </c>
      <c r="O9" s="402">
        <f t="shared" si="1"/>
        <v>29040.009999999995</v>
      </c>
      <c r="P9" s="401">
        <f t="shared" si="1"/>
        <v>2447</v>
      </c>
      <c r="Q9" s="402">
        <f t="shared" si="1"/>
        <v>19251.12000000001</v>
      </c>
      <c r="R9" s="401">
        <f>R7-P7</f>
        <v>3063</v>
      </c>
      <c r="S9" s="402">
        <f>S7-Q7</f>
        <v>24467.00999999998</v>
      </c>
      <c r="T9" s="401">
        <f>T7-R7</f>
        <v>1770</v>
      </c>
      <c r="U9" s="402">
        <f>U7-S7</f>
        <v>463318.07000000007</v>
      </c>
      <c r="V9" s="401">
        <f>V7-T7</f>
        <v>1630</v>
      </c>
      <c r="W9" s="395"/>
      <c r="X9" s="401">
        <f>X7-V7</f>
        <v>-3400</v>
      </c>
      <c r="Y9" s="213"/>
      <c r="Z9" s="537">
        <f>Z7-X7</f>
        <v>4500</v>
      </c>
      <c r="AA9" s="213"/>
    </row>
    <row r="10" spans="1:27" ht="16.2" customHeight="1" x14ac:dyDescent="0.25">
      <c r="A10" s="8" t="s">
        <v>9</v>
      </c>
      <c r="B10" s="210"/>
      <c r="C10" s="217"/>
      <c r="D10" s="222">
        <f t="shared" ref="D10:T10" si="2">D9/B7</f>
        <v>0.12332</v>
      </c>
      <c r="E10" s="217">
        <f t="shared" si="2"/>
        <v>0.26394506688144881</v>
      </c>
      <c r="F10" s="222">
        <f t="shared" si="2"/>
        <v>3.2653206566250044E-2</v>
      </c>
      <c r="G10" s="217">
        <f t="shared" si="2"/>
        <v>8.7739174339382386E-3</v>
      </c>
      <c r="H10" s="222">
        <f t="shared" si="2"/>
        <v>4.6551724137931037E-2</v>
      </c>
      <c r="I10" s="217">
        <f t="shared" si="2"/>
        <v>4.7544654759569593E-2</v>
      </c>
      <c r="J10" s="538">
        <f t="shared" si="2"/>
        <v>0.51729818780889625</v>
      </c>
      <c r="K10" s="539">
        <f t="shared" si="2"/>
        <v>8.2363904295679122E-2</v>
      </c>
      <c r="L10" s="538">
        <f t="shared" si="2"/>
        <v>0.1</v>
      </c>
      <c r="M10" s="539">
        <f t="shared" si="2"/>
        <v>-0.14582412518038265</v>
      </c>
      <c r="N10" s="538">
        <f t="shared" si="2"/>
        <v>0.11519099792715427</v>
      </c>
      <c r="O10" s="539">
        <f t="shared" si="2"/>
        <v>0.47164740665477362</v>
      </c>
      <c r="P10" s="538">
        <f t="shared" si="2"/>
        <v>4.3317401309966364E-2</v>
      </c>
      <c r="Q10" s="539">
        <f t="shared" si="2"/>
        <v>0.21245791784592355</v>
      </c>
      <c r="R10" s="538">
        <f t="shared" si="2"/>
        <v>5.1970748426285698E-2</v>
      </c>
      <c r="S10" s="539">
        <f t="shared" si="2"/>
        <v>0.22270560391951488</v>
      </c>
      <c r="T10" s="538">
        <f t="shared" si="2"/>
        <v>2.8548387096774194E-2</v>
      </c>
      <c r="U10" s="539">
        <f>U9/S7</f>
        <v>3.4491142606118483</v>
      </c>
      <c r="V10" s="538">
        <f>V9/T7</f>
        <v>2.5560608436568918E-2</v>
      </c>
      <c r="W10" s="540"/>
      <c r="X10" s="538">
        <f>X9/V7</f>
        <v>-5.1987767584097858E-2</v>
      </c>
      <c r="Y10" s="535"/>
      <c r="Z10" s="538">
        <f>Z9/X7</f>
        <v>7.2580645161290328E-2</v>
      </c>
      <c r="AA10" s="213"/>
    </row>
    <row r="11" spans="1:27" ht="16.2" customHeight="1" x14ac:dyDescent="0.25">
      <c r="I11" s="10" t="s">
        <v>10</v>
      </c>
      <c r="J11" s="403"/>
      <c r="K11" s="541"/>
      <c r="L11" s="541"/>
      <c r="M11" s="541"/>
      <c r="N11" s="541"/>
      <c r="O11" s="541"/>
      <c r="P11" s="541"/>
      <c r="Q11" s="541"/>
      <c r="R11" s="541"/>
      <c r="S11" s="541"/>
      <c r="T11" s="541"/>
      <c r="U11" s="541"/>
      <c r="V11" s="541"/>
      <c r="W11" s="541"/>
      <c r="X11" s="542"/>
      <c r="Y11" s="542"/>
      <c r="Z11" s="542"/>
    </row>
    <row r="12" spans="1:27" ht="16.2" customHeight="1" x14ac:dyDescent="0.25">
      <c r="A12" s="196" t="s">
        <v>183</v>
      </c>
      <c r="B12" s="197"/>
      <c r="C12" s="197"/>
      <c r="D12" s="197"/>
      <c r="E12" s="197"/>
      <c r="F12" s="197"/>
      <c r="G12" s="197"/>
      <c r="H12" s="197"/>
      <c r="I12" s="197"/>
      <c r="J12" s="404"/>
      <c r="K12" s="385">
        <v>5000</v>
      </c>
      <c r="L12" s="404"/>
      <c r="M12" s="395">
        <v>0</v>
      </c>
      <c r="N12" s="404"/>
      <c r="O12" s="395">
        <v>0</v>
      </c>
      <c r="P12" s="404"/>
      <c r="Q12" s="405">
        <v>10000</v>
      </c>
      <c r="R12" s="404"/>
      <c r="S12" s="385">
        <v>40000</v>
      </c>
      <c r="T12" s="404"/>
      <c r="U12" s="385">
        <v>60000</v>
      </c>
      <c r="V12" s="404"/>
      <c r="W12" s="404"/>
    </row>
    <row r="13" spans="1:27" ht="16.2" customHeight="1" x14ac:dyDescent="0.25">
      <c r="A13" s="198" t="s">
        <v>182</v>
      </c>
      <c r="B13" s="197"/>
      <c r="C13" s="197"/>
      <c r="D13" s="197"/>
      <c r="E13" s="197"/>
      <c r="F13" s="197"/>
      <c r="G13" s="197"/>
      <c r="H13" s="197"/>
      <c r="I13" s="198"/>
      <c r="J13" s="406"/>
      <c r="K13" s="405"/>
      <c r="L13" s="406"/>
      <c r="M13" s="405">
        <v>15000</v>
      </c>
      <c r="N13" s="406"/>
      <c r="O13" s="405">
        <v>15000</v>
      </c>
      <c r="P13" s="406"/>
      <c r="Q13" s="405">
        <v>15000</v>
      </c>
      <c r="R13" s="406"/>
      <c r="S13" s="395"/>
      <c r="T13" s="404"/>
      <c r="U13" s="385"/>
      <c r="V13" s="404"/>
      <c r="W13" s="404"/>
    </row>
  </sheetData>
  <phoneticPr fontId="47" type="noConversion"/>
  <pageMargins left="0.7" right="0.7" top="0.75" bottom="0.75" header="0.3" footer="0.3"/>
  <pageSetup paperSize="9" scale="75"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4258-796C-405F-8DFA-0BC08AC7F983}">
  <dimension ref="A1:N14"/>
  <sheetViews>
    <sheetView workbookViewId="0">
      <selection activeCell="K7" sqref="K7"/>
    </sheetView>
  </sheetViews>
  <sheetFormatPr defaultRowHeight="14.4" x14ac:dyDescent="0.3"/>
  <cols>
    <col min="1" max="1" width="9.6640625" bestFit="1" customWidth="1"/>
    <col min="2" max="2" width="11.6640625" bestFit="1" customWidth="1"/>
    <col min="3" max="3" width="13.6640625" bestFit="1" customWidth="1"/>
    <col min="4" max="4" width="9" bestFit="1" customWidth="1"/>
    <col min="5" max="5" width="12.33203125" bestFit="1" customWidth="1"/>
    <col min="6" max="6" width="4.5546875" customWidth="1"/>
    <col min="7" max="7" width="12.33203125" bestFit="1" customWidth="1"/>
    <col min="11" max="11" width="11.33203125" bestFit="1" customWidth="1"/>
    <col min="12" max="12" width="12.33203125" bestFit="1" customWidth="1"/>
    <col min="14" max="14" width="12.33203125" bestFit="1" customWidth="1"/>
  </cols>
  <sheetData>
    <row r="1" spans="1:14" x14ac:dyDescent="0.3">
      <c r="A1" s="150" t="s">
        <v>237</v>
      </c>
      <c r="F1" s="224"/>
      <c r="I1" s="150" t="s">
        <v>233</v>
      </c>
      <c r="M1" s="308"/>
    </row>
    <row r="2" spans="1:14" x14ac:dyDescent="0.3">
      <c r="D2" s="3" t="s">
        <v>232</v>
      </c>
      <c r="E2" s="3" t="s">
        <v>88</v>
      </c>
      <c r="F2" s="225"/>
      <c r="G2" t="s">
        <v>89</v>
      </c>
      <c r="K2" t="s">
        <v>87</v>
      </c>
      <c r="L2" t="s">
        <v>88</v>
      </c>
      <c r="M2" s="308"/>
      <c r="N2" t="s">
        <v>89</v>
      </c>
    </row>
    <row r="3" spans="1:14" x14ac:dyDescent="0.3">
      <c r="A3" t="s">
        <v>228</v>
      </c>
      <c r="B3" s="164" t="s">
        <v>229</v>
      </c>
      <c r="C3" s="164" t="s">
        <v>230</v>
      </c>
      <c r="D3" s="151"/>
      <c r="E3" s="151">
        <v>400000</v>
      </c>
      <c r="F3" s="224"/>
      <c r="G3" s="151">
        <f>D3+E3</f>
        <v>400000</v>
      </c>
      <c r="I3" s="195" t="s">
        <v>236</v>
      </c>
      <c r="K3" s="151"/>
      <c r="L3" s="151">
        <v>399860</v>
      </c>
      <c r="M3" s="308"/>
      <c r="N3" s="309">
        <f>L3</f>
        <v>399860</v>
      </c>
    </row>
    <row r="4" spans="1:14" x14ac:dyDescent="0.3">
      <c r="A4" t="s">
        <v>228</v>
      </c>
      <c r="B4" t="s">
        <v>229</v>
      </c>
      <c r="C4" t="s">
        <v>231</v>
      </c>
      <c r="D4" s="151">
        <v>140</v>
      </c>
      <c r="E4" s="151"/>
      <c r="F4" s="224"/>
      <c r="G4" s="151">
        <f>G3-D4+E4</f>
        <v>399860</v>
      </c>
      <c r="I4" s="195">
        <v>44682</v>
      </c>
      <c r="K4" s="151">
        <v>10359.69</v>
      </c>
      <c r="L4" s="151"/>
      <c r="M4" s="308"/>
      <c r="N4" s="309">
        <f>N3-K4+L4</f>
        <v>389500.31</v>
      </c>
    </row>
    <row r="5" spans="1:14" x14ac:dyDescent="0.3">
      <c r="B5" s="199"/>
      <c r="C5" s="199"/>
      <c r="D5" s="151"/>
      <c r="E5" s="151"/>
      <c r="F5" s="224"/>
      <c r="G5" s="151">
        <f>G4-D5+E5</f>
        <v>399860</v>
      </c>
      <c r="I5" s="195">
        <v>44866</v>
      </c>
      <c r="K5" s="151"/>
      <c r="L5" s="151"/>
      <c r="M5" s="308"/>
      <c r="N5" s="309">
        <f t="shared" ref="N5:N14" si="0">N4-K5+L5</f>
        <v>389500.31</v>
      </c>
    </row>
    <row r="6" spans="1:14" x14ac:dyDescent="0.3">
      <c r="D6" s="151"/>
      <c r="E6" s="151"/>
      <c r="F6" s="224"/>
      <c r="G6" s="151">
        <f t="shared" ref="G6:G14" si="1">G5-D6+E6</f>
        <v>399860</v>
      </c>
      <c r="I6" s="195">
        <v>45047</v>
      </c>
      <c r="K6" s="151"/>
      <c r="L6" s="151"/>
      <c r="M6" s="308"/>
      <c r="N6" s="309">
        <f t="shared" si="0"/>
        <v>389500.31</v>
      </c>
    </row>
    <row r="7" spans="1:14" x14ac:dyDescent="0.3">
      <c r="B7" s="199"/>
      <c r="C7" s="199"/>
      <c r="D7" s="151"/>
      <c r="E7" s="151"/>
      <c r="F7" s="224"/>
      <c r="G7" s="151">
        <f t="shared" si="1"/>
        <v>399860</v>
      </c>
      <c r="I7" s="195">
        <v>45231</v>
      </c>
      <c r="K7" s="151"/>
      <c r="L7" s="151"/>
      <c r="M7" s="308"/>
      <c r="N7" s="309">
        <f t="shared" si="0"/>
        <v>389500.31</v>
      </c>
    </row>
    <row r="8" spans="1:14" x14ac:dyDescent="0.3">
      <c r="D8" s="151"/>
      <c r="E8" s="151"/>
      <c r="F8" s="224"/>
      <c r="G8" s="151">
        <f t="shared" si="1"/>
        <v>399860</v>
      </c>
      <c r="K8" s="151"/>
      <c r="L8" s="151"/>
      <c r="M8" s="308"/>
      <c r="N8" s="309">
        <f t="shared" si="0"/>
        <v>389500.31</v>
      </c>
    </row>
    <row r="9" spans="1:14" x14ac:dyDescent="0.3">
      <c r="B9" s="199"/>
      <c r="C9" s="199"/>
      <c r="D9" s="151"/>
      <c r="E9" s="151"/>
      <c r="F9" s="224"/>
      <c r="G9" s="151">
        <f t="shared" si="1"/>
        <v>399860</v>
      </c>
      <c r="K9" s="151"/>
      <c r="L9" s="151"/>
      <c r="M9" s="308"/>
      <c r="N9" s="309">
        <f t="shared" si="0"/>
        <v>389500.31</v>
      </c>
    </row>
    <row r="10" spans="1:14" x14ac:dyDescent="0.3">
      <c r="D10" s="151"/>
      <c r="E10" s="151"/>
      <c r="F10" s="224"/>
      <c r="G10" s="151">
        <f t="shared" si="1"/>
        <v>399860</v>
      </c>
      <c r="K10" s="151"/>
      <c r="L10" s="151"/>
      <c r="M10" s="308"/>
      <c r="N10" s="309">
        <f t="shared" si="0"/>
        <v>389500.31</v>
      </c>
    </row>
    <row r="11" spans="1:14" x14ac:dyDescent="0.3">
      <c r="D11" s="151"/>
      <c r="E11" s="151"/>
      <c r="F11" s="224"/>
      <c r="G11" s="151">
        <f t="shared" si="1"/>
        <v>399860</v>
      </c>
      <c r="K11" s="151"/>
      <c r="L11" s="151"/>
      <c r="M11" s="308"/>
      <c r="N11" s="309">
        <f t="shared" si="0"/>
        <v>389500.31</v>
      </c>
    </row>
    <row r="12" spans="1:14" x14ac:dyDescent="0.3">
      <c r="D12" s="151"/>
      <c r="E12" s="151"/>
      <c r="F12" s="224"/>
      <c r="G12" s="151">
        <f t="shared" si="1"/>
        <v>399860</v>
      </c>
      <c r="K12" s="151"/>
      <c r="L12" s="151"/>
      <c r="M12" s="308"/>
      <c r="N12" s="309">
        <f t="shared" si="0"/>
        <v>389500.31</v>
      </c>
    </row>
    <row r="13" spans="1:14" x14ac:dyDescent="0.3">
      <c r="D13" s="151"/>
      <c r="E13" s="151"/>
      <c r="F13" s="224"/>
      <c r="G13" s="151">
        <f t="shared" si="1"/>
        <v>399860</v>
      </c>
      <c r="K13" s="151"/>
      <c r="L13" s="151"/>
      <c r="M13" s="308"/>
      <c r="N13" s="309">
        <f t="shared" si="0"/>
        <v>389500.31</v>
      </c>
    </row>
    <row r="14" spans="1:14" x14ac:dyDescent="0.3">
      <c r="D14" s="151"/>
      <c r="E14" s="151"/>
      <c r="F14" s="224"/>
      <c r="G14" s="151">
        <f t="shared" si="1"/>
        <v>399860</v>
      </c>
      <c r="M14" s="308"/>
      <c r="N14" s="309">
        <f t="shared" si="0"/>
        <v>389500.31</v>
      </c>
    </row>
  </sheetData>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20" sqref="A1:G20"/>
    </sheetView>
  </sheetViews>
  <sheetFormatPr defaultRowHeight="14.4" x14ac:dyDescent="0.3"/>
  <cols>
    <col min="5" max="5" width="10.5546875" bestFit="1" customWidth="1"/>
    <col min="6" max="6" width="18.88671875" bestFit="1" customWidth="1"/>
    <col min="7" max="7" width="10.5546875" bestFit="1" customWidth="1"/>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0"/>
  <sheetViews>
    <sheetView topLeftCell="A21" workbookViewId="0">
      <pane xSplit="18" ySplit="4" topLeftCell="W31" activePane="bottomRight" state="frozen"/>
      <selection activeCell="A21" sqref="A21"/>
      <selection pane="topRight" activeCell="S21" sqref="S21"/>
      <selection pane="bottomLeft" activeCell="A25" sqref="A25"/>
      <selection pane="bottomRight" activeCell="AE45" sqref="AE45"/>
    </sheetView>
  </sheetViews>
  <sheetFormatPr defaultRowHeight="14.4" x14ac:dyDescent="0.3"/>
  <cols>
    <col min="1" max="1" width="19.44140625" customWidth="1"/>
    <col min="2" max="3" width="11.6640625" hidden="1" customWidth="1"/>
    <col min="4" max="4" width="14.44140625" hidden="1" customWidth="1"/>
    <col min="5" max="5" width="11.6640625" hidden="1" customWidth="1"/>
    <col min="6" max="6" width="14" hidden="1" customWidth="1"/>
    <col min="7" max="8" width="11.6640625" hidden="1" customWidth="1"/>
    <col min="9" max="9" width="11.5546875" hidden="1" customWidth="1"/>
    <col min="10" max="10" width="10.33203125" hidden="1" customWidth="1"/>
    <col min="11" max="11" width="12.88671875" hidden="1" customWidth="1"/>
    <col min="12" max="12" width="11.88671875" hidden="1" customWidth="1"/>
    <col min="13" max="13" width="11" hidden="1" customWidth="1"/>
    <col min="14" max="14" width="10.109375" hidden="1" customWidth="1"/>
    <col min="15" max="15" width="0" hidden="1" customWidth="1"/>
    <col min="16" max="16" width="10.33203125" hidden="1" customWidth="1"/>
    <col min="17" max="17" width="0" hidden="1" customWidth="1"/>
    <col min="18" max="18" width="9.88671875" hidden="1" customWidth="1"/>
    <col min="19" max="19" width="12.33203125" style="159" customWidth="1"/>
    <col min="21" max="21" width="10" customWidth="1"/>
    <col min="23" max="23" width="8.88671875" style="9"/>
    <col min="24" max="24" width="10.77734375" style="9" customWidth="1"/>
    <col min="26" max="26" width="10.33203125" customWidth="1"/>
    <col min="27" max="27" width="8.88671875" style="90"/>
    <col min="28" max="28" width="10.109375" style="90" customWidth="1"/>
    <col min="29" max="29" width="8.88671875" style="544"/>
    <col min="30" max="30" width="10.21875" style="544" customWidth="1"/>
    <col min="31" max="31" width="8.88671875" style="90"/>
    <col min="32" max="32" width="11.5546875" style="90" customWidth="1"/>
  </cols>
  <sheetData>
    <row r="1" spans="1:12" x14ac:dyDescent="0.3">
      <c r="B1" s="104">
        <v>2011</v>
      </c>
      <c r="C1" s="104">
        <v>2012</v>
      </c>
      <c r="D1" s="104">
        <v>2013</v>
      </c>
      <c r="E1" s="104">
        <v>2014</v>
      </c>
      <c r="F1" s="104">
        <v>2015</v>
      </c>
      <c r="G1" s="104">
        <v>2016</v>
      </c>
      <c r="H1" s="104">
        <v>2017</v>
      </c>
      <c r="I1" s="104">
        <v>2018</v>
      </c>
      <c r="J1" s="149">
        <v>2019</v>
      </c>
      <c r="K1" s="596">
        <v>2020</v>
      </c>
      <c r="L1" s="104">
        <v>2021</v>
      </c>
    </row>
    <row r="2" spans="1:12" x14ac:dyDescent="0.3">
      <c r="A2" s="104" t="s">
        <v>811</v>
      </c>
      <c r="B2" s="597">
        <v>906</v>
      </c>
      <c r="C2" s="597">
        <v>633</v>
      </c>
      <c r="D2" s="597">
        <v>570</v>
      </c>
      <c r="E2" s="597">
        <v>680</v>
      </c>
      <c r="F2" s="597">
        <f>738+264.18</f>
        <v>1002.1800000000001</v>
      </c>
      <c r="G2" s="598"/>
      <c r="H2" s="598"/>
      <c r="I2" s="151">
        <v>1384</v>
      </c>
      <c r="J2" s="151">
        <v>1480</v>
      </c>
      <c r="K2" s="151"/>
    </row>
    <row r="3" spans="1:12" x14ac:dyDescent="0.3">
      <c r="A3" s="104" t="s">
        <v>812</v>
      </c>
      <c r="B3" s="597">
        <v>100</v>
      </c>
      <c r="C3" s="597">
        <v>100</v>
      </c>
      <c r="D3" s="597">
        <v>100</v>
      </c>
      <c r="E3" s="597">
        <v>100</v>
      </c>
      <c r="F3" s="597">
        <v>100</v>
      </c>
      <c r="G3" s="598">
        <v>100</v>
      </c>
      <c r="H3" s="598"/>
      <c r="I3" s="598">
        <v>150</v>
      </c>
      <c r="J3" s="151"/>
      <c r="K3" s="151">
        <v>150</v>
      </c>
    </row>
    <row r="4" spans="1:12" x14ac:dyDescent="0.3">
      <c r="A4" s="104" t="s">
        <v>813</v>
      </c>
      <c r="B4" s="597">
        <v>500</v>
      </c>
      <c r="C4" s="597">
        <v>500</v>
      </c>
      <c r="D4" s="597">
        <v>525</v>
      </c>
      <c r="E4" s="597">
        <v>525</v>
      </c>
      <c r="F4" s="598"/>
      <c r="G4" s="598"/>
      <c r="H4" s="598"/>
      <c r="I4" s="151">
        <v>870</v>
      </c>
      <c r="J4" s="151">
        <v>900</v>
      </c>
      <c r="K4" s="151"/>
    </row>
    <row r="5" spans="1:12" x14ac:dyDescent="0.3">
      <c r="A5" s="104" t="s">
        <v>814</v>
      </c>
      <c r="B5" s="597">
        <v>40</v>
      </c>
      <c r="C5" s="597">
        <v>40</v>
      </c>
      <c r="D5" s="597">
        <v>40</v>
      </c>
      <c r="E5" s="597">
        <v>40</v>
      </c>
      <c r="F5" s="597">
        <v>25</v>
      </c>
      <c r="G5" s="598">
        <v>25</v>
      </c>
      <c r="H5" s="598">
        <v>25</v>
      </c>
      <c r="I5" s="598">
        <v>30</v>
      </c>
      <c r="J5" s="151">
        <v>40</v>
      </c>
      <c r="K5" s="151">
        <v>40</v>
      </c>
    </row>
    <row r="6" spans="1:12" x14ac:dyDescent="0.3">
      <c r="A6" s="104" t="s">
        <v>815</v>
      </c>
      <c r="B6" s="597">
        <v>40</v>
      </c>
      <c r="C6" s="597"/>
      <c r="D6" s="597"/>
      <c r="E6" s="597">
        <v>200</v>
      </c>
      <c r="F6" s="598"/>
      <c r="G6" s="598"/>
      <c r="H6" s="598"/>
      <c r="I6" s="151"/>
      <c r="J6" s="151"/>
      <c r="K6" s="151"/>
    </row>
    <row r="7" spans="1:12" x14ac:dyDescent="0.3">
      <c r="A7" s="104" t="s">
        <v>816</v>
      </c>
      <c r="B7" s="597">
        <v>500</v>
      </c>
      <c r="C7" s="597">
        <v>1250</v>
      </c>
      <c r="D7" s="597"/>
      <c r="E7" s="597">
        <v>0</v>
      </c>
      <c r="F7" s="598"/>
      <c r="G7" s="598"/>
      <c r="H7" s="598">
        <v>500</v>
      </c>
      <c r="I7" s="151"/>
      <c r="J7" s="151">
        <v>372.48</v>
      </c>
      <c r="K7" s="151"/>
    </row>
    <row r="8" spans="1:12" x14ac:dyDescent="0.3">
      <c r="A8" s="104" t="s">
        <v>817</v>
      </c>
      <c r="B8" s="597">
        <v>50</v>
      </c>
      <c r="C8" s="597">
        <v>1000</v>
      </c>
      <c r="D8" s="597"/>
      <c r="E8" s="597">
        <v>1000</v>
      </c>
      <c r="F8" s="597">
        <f>126+3328.33</f>
        <v>3454.33</v>
      </c>
      <c r="G8" s="597">
        <v>10518.2</v>
      </c>
      <c r="H8" s="597">
        <f>589+438.47+45</f>
        <v>1072.47</v>
      </c>
      <c r="I8" s="151"/>
      <c r="J8" s="599">
        <v>6612.4</v>
      </c>
      <c r="K8" s="151"/>
      <c r="L8" s="600">
        <v>5000</v>
      </c>
    </row>
    <row r="9" spans="1:12" x14ac:dyDescent="0.3">
      <c r="A9" s="104" t="s">
        <v>818</v>
      </c>
      <c r="B9" s="597"/>
      <c r="C9" s="597">
        <v>1000</v>
      </c>
      <c r="D9" s="597"/>
      <c r="E9" s="597" t="s">
        <v>55</v>
      </c>
      <c r="F9" s="598"/>
      <c r="G9" s="598"/>
      <c r="H9" s="598"/>
      <c r="I9" s="151"/>
      <c r="J9" s="151"/>
      <c r="K9" s="151">
        <v>1000</v>
      </c>
    </row>
    <row r="10" spans="1:12" x14ac:dyDescent="0.3">
      <c r="A10" s="104" t="s">
        <v>819</v>
      </c>
      <c r="B10" s="597"/>
      <c r="C10" s="597">
        <v>500</v>
      </c>
      <c r="D10" s="597"/>
      <c r="E10" s="597">
        <v>420</v>
      </c>
      <c r="F10" s="598">
        <v>100</v>
      </c>
      <c r="G10" s="598"/>
      <c r="H10" s="598"/>
      <c r="I10" s="151"/>
      <c r="J10" s="151"/>
      <c r="K10" s="151"/>
    </row>
    <row r="11" spans="1:12" x14ac:dyDescent="0.3">
      <c r="A11" s="104" t="s">
        <v>820</v>
      </c>
      <c r="B11" s="597"/>
      <c r="C11" s="597"/>
      <c r="D11" s="597"/>
      <c r="E11" s="597"/>
      <c r="F11" s="598"/>
      <c r="G11" s="598">
        <v>95</v>
      </c>
      <c r="H11" s="598"/>
      <c r="I11" s="151">
        <v>490</v>
      </c>
      <c r="J11" s="151">
        <v>390</v>
      </c>
      <c r="K11" s="151"/>
      <c r="L11" s="151">
        <v>305</v>
      </c>
    </row>
    <row r="12" spans="1:12" x14ac:dyDescent="0.3">
      <c r="A12" s="104" t="s">
        <v>821</v>
      </c>
      <c r="B12" s="597"/>
      <c r="C12" s="597"/>
      <c r="D12" s="597"/>
      <c r="E12" s="597"/>
      <c r="F12" s="598"/>
      <c r="G12" s="598"/>
      <c r="H12" s="598">
        <f>21415.21-1000-5244+3004.65+129.5</f>
        <v>18305.36</v>
      </c>
      <c r="I12" s="151">
        <v>4056</v>
      </c>
      <c r="J12" s="151">
        <v>4040</v>
      </c>
      <c r="K12" s="151">
        <v>3217.7</v>
      </c>
      <c r="L12" s="151" t="e">
        <f>'[4]Budget YTD 2022 23'!#REF!</f>
        <v>#REF!</v>
      </c>
    </row>
    <row r="13" spans="1:12" x14ac:dyDescent="0.3">
      <c r="A13" s="104" t="s">
        <v>822</v>
      </c>
      <c r="B13" s="597"/>
      <c r="C13" s="597"/>
      <c r="D13" s="597"/>
      <c r="E13" s="597"/>
      <c r="F13" s="598"/>
      <c r="G13" s="598"/>
      <c r="H13" s="598">
        <v>500</v>
      </c>
      <c r="I13" s="151"/>
      <c r="J13" s="151">
        <v>500</v>
      </c>
      <c r="K13" s="151"/>
      <c r="L13">
        <v>500</v>
      </c>
    </row>
    <row r="14" spans="1:12" x14ac:dyDescent="0.3">
      <c r="A14" s="104" t="s">
        <v>823</v>
      </c>
      <c r="B14" s="597"/>
      <c r="C14" s="597"/>
      <c r="D14" s="597"/>
      <c r="E14" s="597"/>
      <c r="F14" s="598"/>
      <c r="G14" s="598"/>
      <c r="H14" s="598"/>
      <c r="I14" s="151">
        <v>74</v>
      </c>
      <c r="J14" s="151">
        <v>86.6</v>
      </c>
      <c r="K14" s="151"/>
    </row>
    <row r="15" spans="1:12" x14ac:dyDescent="0.3">
      <c r="A15" s="104" t="s">
        <v>824</v>
      </c>
      <c r="B15" s="597"/>
      <c r="C15" s="597"/>
      <c r="D15" s="597"/>
      <c r="E15" s="597"/>
      <c r="F15" s="598"/>
      <c r="G15" s="598"/>
      <c r="H15" s="598"/>
      <c r="I15" s="151"/>
      <c r="J15" s="151">
        <v>500</v>
      </c>
      <c r="K15" s="151"/>
    </row>
    <row r="16" spans="1:12" x14ac:dyDescent="0.3">
      <c r="A16" s="104" t="s">
        <v>825</v>
      </c>
      <c r="B16" s="597"/>
      <c r="C16" s="597"/>
      <c r="D16" s="597"/>
      <c r="E16" s="597"/>
      <c r="F16" s="598"/>
      <c r="G16" s="598"/>
      <c r="H16" s="598"/>
      <c r="I16" s="151"/>
      <c r="J16" s="151">
        <v>30</v>
      </c>
      <c r="K16" s="151"/>
    </row>
    <row r="17" spans="1:32" x14ac:dyDescent="0.3">
      <c r="A17" s="104" t="s">
        <v>826</v>
      </c>
      <c r="B17" s="597"/>
      <c r="C17" s="597"/>
      <c r="D17" s="597"/>
      <c r="E17" s="597"/>
      <c r="F17" s="598"/>
      <c r="G17" s="598"/>
      <c r="H17" s="598"/>
      <c r="I17" s="151"/>
      <c r="J17" s="151"/>
      <c r="K17" s="574">
        <v>300</v>
      </c>
    </row>
    <row r="18" spans="1:32" x14ac:dyDescent="0.3">
      <c r="A18" s="601" t="s">
        <v>827</v>
      </c>
      <c r="B18" s="602">
        <f t="shared" ref="B18:I18" si="0">SUM(B2:B16)</f>
        <v>2136</v>
      </c>
      <c r="C18" s="602">
        <f t="shared" si="0"/>
        <v>5023</v>
      </c>
      <c r="D18" s="602">
        <f t="shared" si="0"/>
        <v>1235</v>
      </c>
      <c r="E18" s="602">
        <f t="shared" si="0"/>
        <v>2965</v>
      </c>
      <c r="F18" s="602">
        <f t="shared" si="0"/>
        <v>4681.51</v>
      </c>
      <c r="G18" s="602">
        <f t="shared" si="0"/>
        <v>10738.2</v>
      </c>
      <c r="H18" s="602">
        <f t="shared" si="0"/>
        <v>20402.830000000002</v>
      </c>
      <c r="I18" s="602">
        <f t="shared" si="0"/>
        <v>7054</v>
      </c>
      <c r="J18" s="602">
        <f>SUM(J2:J16)</f>
        <v>14951.48</v>
      </c>
      <c r="K18" s="603">
        <f>SUM(K2:K17)</f>
        <v>4707.7</v>
      </c>
      <c r="L18" s="603" t="e">
        <f>SUM(L2:L17)</f>
        <v>#REF!</v>
      </c>
    </row>
    <row r="19" spans="1:32" ht="15" thickBot="1" x14ac:dyDescent="0.35">
      <c r="A19" s="601" t="s">
        <v>17</v>
      </c>
      <c r="B19" s="604">
        <v>2500</v>
      </c>
      <c r="C19" s="604">
        <v>2500</v>
      </c>
      <c r="D19" s="604">
        <v>2500</v>
      </c>
      <c r="E19" s="604">
        <v>2500</v>
      </c>
      <c r="F19" s="605">
        <v>3000</v>
      </c>
      <c r="G19" s="605">
        <v>21000</v>
      </c>
      <c r="H19" s="604">
        <v>20000</v>
      </c>
      <c r="I19" s="604">
        <f>15000+6000</f>
        <v>21000</v>
      </c>
      <c r="J19" s="604">
        <v>12500</v>
      </c>
      <c r="K19" s="606">
        <f>7500+5500</f>
        <v>13000</v>
      </c>
      <c r="L19" s="604">
        <f>5090+4500</f>
        <v>9590</v>
      </c>
    </row>
    <row r="20" spans="1:32" ht="15" thickBot="1" x14ac:dyDescent="0.35">
      <c r="I20" t="s">
        <v>828</v>
      </c>
      <c r="J20" s="607">
        <f>J18-J8</f>
        <v>8339.08</v>
      </c>
      <c r="K20" s="608"/>
      <c r="L20" s="609" t="e">
        <f>L18-L8</f>
        <v>#REF!</v>
      </c>
    </row>
    <row r="22" spans="1:32" x14ac:dyDescent="0.3">
      <c r="A22" t="s">
        <v>829</v>
      </c>
    </row>
    <row r="23" spans="1:32" x14ac:dyDescent="0.3">
      <c r="E23" s="90" t="s">
        <v>830</v>
      </c>
      <c r="G23" t="s">
        <v>120</v>
      </c>
      <c r="J23" t="s">
        <v>120</v>
      </c>
      <c r="T23" s="1042" t="s">
        <v>831</v>
      </c>
      <c r="U23" s="1042"/>
    </row>
    <row r="24" spans="1:32" ht="43.2" x14ac:dyDescent="0.3">
      <c r="B24" s="545" t="s">
        <v>832</v>
      </c>
      <c r="C24" s="546" t="s">
        <v>833</v>
      </c>
      <c r="D24" s="90" t="s">
        <v>834</v>
      </c>
      <c r="E24" s="90" t="s">
        <v>832</v>
      </c>
      <c r="F24" t="s">
        <v>835</v>
      </c>
      <c r="G24" t="s">
        <v>835</v>
      </c>
      <c r="H24" s="547" t="s">
        <v>836</v>
      </c>
      <c r="I24" s="547" t="s">
        <v>837</v>
      </c>
      <c r="J24" t="s">
        <v>838</v>
      </c>
      <c r="K24" s="547" t="s">
        <v>839</v>
      </c>
      <c r="L24" s="547" t="s">
        <v>840</v>
      </c>
      <c r="M24" s="548" t="s">
        <v>841</v>
      </c>
      <c r="N24" s="311" t="s">
        <v>842</v>
      </c>
      <c r="O24" s="610" t="s">
        <v>843</v>
      </c>
      <c r="P24" s="610" t="s">
        <v>844</v>
      </c>
      <c r="Q24" s="611" t="s">
        <v>845</v>
      </c>
      <c r="R24" s="611" t="s">
        <v>846</v>
      </c>
      <c r="S24" s="549" t="s">
        <v>847</v>
      </c>
      <c r="T24" s="610" t="s">
        <v>848</v>
      </c>
      <c r="U24" s="610" t="s">
        <v>849</v>
      </c>
      <c r="W24" s="621" t="s">
        <v>850</v>
      </c>
      <c r="X24" s="621" t="s">
        <v>851</v>
      </c>
      <c r="Y24" s="622" t="s">
        <v>870</v>
      </c>
      <c r="Z24" s="622" t="s">
        <v>871</v>
      </c>
      <c r="AA24" s="621" t="s">
        <v>874</v>
      </c>
      <c r="AB24" s="621" t="s">
        <v>875</v>
      </c>
      <c r="AC24" s="622" t="s">
        <v>1174</v>
      </c>
      <c r="AD24" s="622" t="s">
        <v>1175</v>
      </c>
      <c r="AE24" s="621" t="s">
        <v>1177</v>
      </c>
      <c r="AF24" s="621" t="s">
        <v>1178</v>
      </c>
    </row>
    <row r="25" spans="1:32" ht="17.399999999999999" x14ac:dyDescent="0.3">
      <c r="A25" t="s">
        <v>852</v>
      </c>
      <c r="B25" s="90">
        <v>3000</v>
      </c>
      <c r="C25" s="544">
        <v>1384</v>
      </c>
      <c r="D25" s="90"/>
      <c r="E25" s="90"/>
      <c r="F25">
        <v>1480</v>
      </c>
      <c r="G25" s="550"/>
      <c r="H25" s="551">
        <v>1500</v>
      </c>
      <c r="I25" s="551"/>
      <c r="J25" s="379"/>
      <c r="K25" s="551">
        <v>1000</v>
      </c>
      <c r="L25" s="551"/>
      <c r="M25" s="379"/>
      <c r="N25" s="379"/>
      <c r="O25" s="612">
        <v>1000</v>
      </c>
      <c r="P25" s="612"/>
      <c r="Q25" s="613"/>
      <c r="R25" s="613"/>
      <c r="S25" s="552"/>
      <c r="T25" s="612">
        <v>1000</v>
      </c>
      <c r="U25" s="612"/>
      <c r="W25" s="855">
        <v>1000</v>
      </c>
      <c r="X25" s="855"/>
      <c r="Y25" s="817"/>
      <c r="Z25" s="817"/>
      <c r="AA25" s="856">
        <v>1000</v>
      </c>
      <c r="AB25" s="856"/>
      <c r="AC25" s="814"/>
      <c r="AD25" s="814"/>
      <c r="AE25" s="856">
        <v>1000</v>
      </c>
      <c r="AF25" s="856"/>
    </row>
    <row r="26" spans="1:32" ht="17.399999999999999" x14ac:dyDescent="0.3">
      <c r="A26" t="s">
        <v>813</v>
      </c>
      <c r="B26" s="90">
        <v>0</v>
      </c>
      <c r="C26" s="544">
        <v>870</v>
      </c>
      <c r="D26" s="90"/>
      <c r="E26" s="90"/>
      <c r="F26">
        <v>900</v>
      </c>
      <c r="G26" s="550"/>
      <c r="H26" s="551">
        <v>900</v>
      </c>
      <c r="I26" s="551"/>
      <c r="J26" s="379"/>
      <c r="K26" s="551">
        <v>1500</v>
      </c>
      <c r="L26" s="551"/>
      <c r="M26" s="379"/>
      <c r="N26" s="379"/>
      <c r="O26" s="612">
        <v>1500</v>
      </c>
      <c r="P26" s="612"/>
      <c r="Q26" s="613"/>
      <c r="R26" s="613"/>
      <c r="S26" s="552"/>
      <c r="T26" s="612">
        <v>500</v>
      </c>
      <c r="U26" s="612"/>
      <c r="V26" t="s">
        <v>853</v>
      </c>
      <c r="W26" s="855"/>
      <c r="X26" s="855"/>
      <c r="Y26" s="817"/>
      <c r="Z26" s="817"/>
      <c r="AA26" s="856"/>
      <c r="AB26" s="856"/>
      <c r="AC26" s="814"/>
      <c r="AD26" s="814"/>
      <c r="AE26" s="856"/>
      <c r="AF26" s="856"/>
    </row>
    <row r="27" spans="1:32" ht="31.2" x14ac:dyDescent="0.3">
      <c r="A27" t="s">
        <v>854</v>
      </c>
      <c r="B27" s="90">
        <v>500</v>
      </c>
      <c r="C27" s="544"/>
      <c r="D27" s="90"/>
      <c r="E27" s="90"/>
      <c r="F27">
        <v>372.48</v>
      </c>
      <c r="G27" s="550"/>
      <c r="H27" s="551">
        <v>500</v>
      </c>
      <c r="I27" s="551"/>
      <c r="J27" s="379"/>
      <c r="K27" s="551">
        <v>500</v>
      </c>
      <c r="L27" s="551"/>
      <c r="M27" s="379"/>
      <c r="N27" s="379"/>
      <c r="O27" s="612">
        <v>500</v>
      </c>
      <c r="P27" s="612"/>
      <c r="Q27" s="613">
        <v>80</v>
      </c>
      <c r="R27" s="613"/>
      <c r="S27" s="553" t="s">
        <v>855</v>
      </c>
      <c r="T27" s="612">
        <v>500</v>
      </c>
      <c r="U27" s="612"/>
      <c r="W27" s="855">
        <v>500</v>
      </c>
      <c r="X27" s="855"/>
      <c r="Y27" s="817"/>
      <c r="Z27" s="817"/>
      <c r="AA27" s="856">
        <v>500</v>
      </c>
      <c r="AB27" s="856"/>
      <c r="AC27" s="814"/>
      <c r="AD27" s="814"/>
      <c r="AE27" s="856">
        <v>250</v>
      </c>
      <c r="AF27" s="856"/>
    </row>
    <row r="28" spans="1:32" ht="17.399999999999999" x14ac:dyDescent="0.3">
      <c r="A28" t="s">
        <v>812</v>
      </c>
      <c r="B28" s="90">
        <v>100</v>
      </c>
      <c r="C28" s="544">
        <v>150</v>
      </c>
      <c r="D28" s="90"/>
      <c r="E28" s="90"/>
      <c r="G28" s="550"/>
      <c r="H28" s="551">
        <v>150</v>
      </c>
      <c r="I28" s="551"/>
      <c r="J28" s="379">
        <v>150</v>
      </c>
      <c r="K28" s="551">
        <v>150</v>
      </c>
      <c r="L28" s="551"/>
      <c r="M28" s="379">
        <v>150</v>
      </c>
      <c r="N28" s="379"/>
      <c r="O28" s="612">
        <v>250</v>
      </c>
      <c r="P28" s="612"/>
      <c r="Q28" s="613"/>
      <c r="R28" s="613"/>
      <c r="S28" s="552"/>
      <c r="T28" s="612">
        <v>250</v>
      </c>
      <c r="U28" s="612"/>
      <c r="W28" s="855">
        <v>250</v>
      </c>
      <c r="X28" s="855"/>
      <c r="Y28" s="817"/>
      <c r="Z28" s="817"/>
      <c r="AA28" s="856">
        <v>250</v>
      </c>
      <c r="AB28" s="856"/>
      <c r="AC28" s="814"/>
      <c r="AD28" s="814"/>
      <c r="AE28" s="856">
        <v>250</v>
      </c>
      <c r="AF28" s="856"/>
    </row>
    <row r="29" spans="1:32" ht="17.399999999999999" x14ac:dyDescent="0.3">
      <c r="A29" t="s">
        <v>814</v>
      </c>
      <c r="B29" s="90">
        <v>40</v>
      </c>
      <c r="C29" s="544">
        <v>30</v>
      </c>
      <c r="D29" s="90"/>
      <c r="E29" s="90"/>
      <c r="F29">
        <v>30</v>
      </c>
      <c r="G29" s="550"/>
      <c r="H29" s="551">
        <v>40</v>
      </c>
      <c r="I29" s="551"/>
      <c r="J29" s="379">
        <v>40</v>
      </c>
      <c r="K29" s="551">
        <v>40</v>
      </c>
      <c r="L29" s="551"/>
      <c r="M29" s="379">
        <v>40</v>
      </c>
      <c r="N29" s="379"/>
      <c r="O29" s="612">
        <v>40</v>
      </c>
      <c r="P29" s="612"/>
      <c r="Q29" s="613">
        <v>40</v>
      </c>
      <c r="R29" s="613"/>
      <c r="S29" s="552"/>
      <c r="T29" s="612">
        <v>50</v>
      </c>
      <c r="U29" s="612"/>
      <c r="W29" s="855">
        <v>50</v>
      </c>
      <c r="X29" s="855"/>
      <c r="Y29" s="817"/>
      <c r="Z29" s="817"/>
      <c r="AA29" s="856">
        <v>50</v>
      </c>
      <c r="AB29" s="856"/>
      <c r="AC29" s="814">
        <v>50</v>
      </c>
      <c r="AD29" s="814"/>
      <c r="AE29" s="856">
        <v>50</v>
      </c>
      <c r="AF29" s="856"/>
    </row>
    <row r="30" spans="1:32" ht="17.399999999999999" x14ac:dyDescent="0.3">
      <c r="A30" t="s">
        <v>818</v>
      </c>
      <c r="B30" s="90">
        <v>1000</v>
      </c>
      <c r="C30" s="544"/>
      <c r="D30" s="90"/>
      <c r="E30" s="90"/>
      <c r="F30">
        <v>1000</v>
      </c>
      <c r="G30" s="550"/>
      <c r="H30" s="551">
        <v>2500</v>
      </c>
      <c r="I30" s="551"/>
      <c r="J30" s="379">
        <v>1000</v>
      </c>
      <c r="K30" s="551">
        <v>800</v>
      </c>
      <c r="L30" s="551"/>
      <c r="M30" s="379"/>
      <c r="N30" s="379"/>
      <c r="O30" s="612">
        <v>4000</v>
      </c>
      <c r="P30" s="612"/>
      <c r="Q30" s="613">
        <f>492.96+1000+5053</f>
        <v>6545.96</v>
      </c>
      <c r="R30" s="613"/>
      <c r="S30" s="552"/>
      <c r="T30" s="612"/>
      <c r="U30" s="612">
        <v>4000</v>
      </c>
      <c r="V30" t="s">
        <v>856</v>
      </c>
      <c r="W30" s="855"/>
      <c r="X30" s="855">
        <v>4000</v>
      </c>
      <c r="Y30" s="817"/>
      <c r="Z30" s="817">
        <v>1485</v>
      </c>
      <c r="AA30" s="856"/>
      <c r="AB30" s="856">
        <v>1500</v>
      </c>
      <c r="AC30" s="814"/>
      <c r="AD30" s="814"/>
      <c r="AE30" s="856"/>
      <c r="AF30" s="856">
        <v>2000</v>
      </c>
    </row>
    <row r="31" spans="1:32" ht="17.399999999999999" x14ac:dyDescent="0.3">
      <c r="A31" t="s">
        <v>299</v>
      </c>
      <c r="B31" s="90">
        <v>2500</v>
      </c>
      <c r="C31" s="544"/>
      <c r="D31" s="90"/>
      <c r="E31" s="90">
        <v>10000</v>
      </c>
      <c r="G31" s="550">
        <f>6612.4+2656.34</f>
        <v>9268.74</v>
      </c>
      <c r="H31" s="551"/>
      <c r="I31" s="551">
        <v>8387.6</v>
      </c>
      <c r="J31" s="379"/>
      <c r="K31" s="551"/>
      <c r="L31" s="551">
        <v>10000</v>
      </c>
      <c r="M31" s="379"/>
      <c r="N31" s="379">
        <v>5000</v>
      </c>
      <c r="O31" s="612"/>
      <c r="P31" s="612">
        <v>5000</v>
      </c>
      <c r="Q31" s="613"/>
      <c r="R31" s="613"/>
      <c r="S31" s="553"/>
      <c r="T31" s="612"/>
      <c r="U31" s="612">
        <v>4000</v>
      </c>
      <c r="W31" s="855"/>
      <c r="X31" s="855">
        <v>4000</v>
      </c>
      <c r="Y31" s="817"/>
      <c r="Z31" s="817"/>
      <c r="AA31" s="856"/>
      <c r="AB31" s="856">
        <v>4000</v>
      </c>
      <c r="AC31" s="814">
        <v>1000</v>
      </c>
      <c r="AD31" s="814">
        <v>4000</v>
      </c>
      <c r="AE31" s="856"/>
      <c r="AF31" s="856">
        <v>0</v>
      </c>
    </row>
    <row r="32" spans="1:32" ht="17.399999999999999" x14ac:dyDescent="0.3">
      <c r="A32" t="s">
        <v>857</v>
      </c>
      <c r="B32" s="90">
        <v>500</v>
      </c>
      <c r="C32" s="544">
        <v>490</v>
      </c>
      <c r="D32" s="90"/>
      <c r="E32" s="90"/>
      <c r="F32">
        <v>390</v>
      </c>
      <c r="G32" s="550"/>
      <c r="H32" s="551">
        <v>250</v>
      </c>
      <c r="I32" s="551"/>
      <c r="J32" s="379"/>
      <c r="K32" s="551">
        <v>500</v>
      </c>
      <c r="L32" s="551"/>
      <c r="M32" s="379">
        <v>305</v>
      </c>
      <c r="N32" s="379"/>
      <c r="O32" s="612">
        <v>500</v>
      </c>
      <c r="P32" s="612"/>
      <c r="Q32" s="613">
        <f>200+200+500</f>
        <v>900</v>
      </c>
      <c r="R32" s="613"/>
      <c r="S32" s="552"/>
      <c r="T32" s="612">
        <v>1000</v>
      </c>
      <c r="U32" s="612"/>
      <c r="W32" s="855">
        <v>1000</v>
      </c>
      <c r="X32" s="855"/>
      <c r="Y32" s="817">
        <v>500</v>
      </c>
      <c r="Z32" s="817"/>
      <c r="AA32" s="856">
        <v>1000</v>
      </c>
      <c r="AB32" s="856"/>
      <c r="AC32" s="814"/>
      <c r="AD32" s="814"/>
      <c r="AE32" s="856">
        <v>500</v>
      </c>
      <c r="AF32" s="856"/>
    </row>
    <row r="33" spans="1:32" ht="17.399999999999999" x14ac:dyDescent="0.3">
      <c r="A33" t="s">
        <v>858</v>
      </c>
      <c r="B33" s="90"/>
      <c r="C33" s="544"/>
      <c r="D33" s="90"/>
      <c r="E33" s="90"/>
      <c r="G33" s="550"/>
      <c r="H33" s="551"/>
      <c r="I33" s="551"/>
      <c r="J33" s="379"/>
      <c r="K33" s="551"/>
      <c r="L33" s="551"/>
      <c r="M33" s="379"/>
      <c r="N33" s="379"/>
      <c r="O33" s="612"/>
      <c r="P33" s="612"/>
      <c r="Q33" s="613">
        <v>335.15</v>
      </c>
      <c r="R33" s="613"/>
      <c r="S33" s="552"/>
      <c r="T33" s="612"/>
      <c r="U33" s="612"/>
      <c r="W33" s="855"/>
      <c r="X33" s="855"/>
      <c r="Y33" s="817"/>
      <c r="Z33" s="817"/>
      <c r="AA33" s="856"/>
      <c r="AB33" s="856"/>
      <c r="AC33" s="814"/>
      <c r="AD33" s="814"/>
      <c r="AE33" s="856"/>
      <c r="AF33" s="856"/>
    </row>
    <row r="34" spans="1:32" ht="17.399999999999999" x14ac:dyDescent="0.3">
      <c r="A34" t="s">
        <v>859</v>
      </c>
      <c r="B34" s="90">
        <v>7500</v>
      </c>
      <c r="C34" s="544"/>
      <c r="D34" s="90"/>
      <c r="E34" s="90">
        <v>25000</v>
      </c>
      <c r="G34" s="550"/>
      <c r="H34" s="551">
        <v>5500</v>
      </c>
      <c r="I34" s="551"/>
      <c r="J34" s="379">
        <v>3217.7</v>
      </c>
      <c r="K34" s="551">
        <v>4500</v>
      </c>
      <c r="L34" s="551"/>
      <c r="M34" s="379">
        <v>4947.21</v>
      </c>
      <c r="N34" s="379"/>
      <c r="O34" s="612"/>
      <c r="P34" s="612">
        <v>4500</v>
      </c>
      <c r="Q34" s="613"/>
      <c r="R34" s="613">
        <v>5750.17</v>
      </c>
      <c r="S34" s="554">
        <v>44887</v>
      </c>
      <c r="T34" s="612"/>
      <c r="U34" s="612">
        <v>10000</v>
      </c>
      <c r="V34" t="s">
        <v>860</v>
      </c>
      <c r="W34" s="855"/>
      <c r="X34" s="855"/>
      <c r="Y34" s="817"/>
      <c r="Z34" s="817"/>
      <c r="AA34" s="856">
        <v>15000</v>
      </c>
      <c r="AB34" s="856"/>
      <c r="AC34" s="814">
        <v>10746.26</v>
      </c>
      <c r="AD34" s="814"/>
      <c r="AE34" s="856"/>
      <c r="AF34" s="856"/>
    </row>
    <row r="35" spans="1:32" ht="17.399999999999999" x14ac:dyDescent="0.3">
      <c r="A35" t="s">
        <v>823</v>
      </c>
      <c r="B35" s="90">
        <v>0</v>
      </c>
      <c r="C35" s="544">
        <v>74</v>
      </c>
      <c r="D35" s="90"/>
      <c r="E35" s="90"/>
      <c r="F35">
        <v>86.6</v>
      </c>
      <c r="G35" s="550"/>
      <c r="H35" s="551">
        <v>100</v>
      </c>
      <c r="I35" s="551"/>
      <c r="J35" s="379"/>
      <c r="K35" s="551">
        <v>100</v>
      </c>
      <c r="L35" s="551"/>
      <c r="M35" s="379"/>
      <c r="N35" s="379"/>
      <c r="O35" s="612">
        <v>150</v>
      </c>
      <c r="P35" s="612"/>
      <c r="Q35" s="613"/>
      <c r="R35" s="613"/>
      <c r="S35" s="552"/>
      <c r="T35" s="612">
        <v>0</v>
      </c>
      <c r="U35" s="612"/>
      <c r="W35" s="855"/>
      <c r="X35" s="855"/>
      <c r="Y35" s="817"/>
      <c r="Z35" s="817"/>
      <c r="AA35" s="856"/>
      <c r="AB35" s="856"/>
      <c r="AC35" s="814"/>
      <c r="AD35" s="814"/>
      <c r="AE35" s="856"/>
      <c r="AF35" s="856"/>
    </row>
    <row r="36" spans="1:32" ht="17.399999999999999" x14ac:dyDescent="0.3">
      <c r="A36" t="s">
        <v>861</v>
      </c>
      <c r="B36" s="90"/>
      <c r="C36" s="544"/>
      <c r="D36" s="90"/>
      <c r="E36" s="90"/>
      <c r="F36">
        <v>500</v>
      </c>
      <c r="G36" s="550"/>
      <c r="H36" s="551"/>
      <c r="I36" s="551"/>
      <c r="J36" s="379"/>
      <c r="K36" s="551"/>
      <c r="L36" s="551"/>
      <c r="M36" s="379"/>
      <c r="N36" s="379"/>
      <c r="O36" s="612">
        <v>500</v>
      </c>
      <c r="P36" s="612"/>
      <c r="Q36" s="613"/>
      <c r="R36" s="613"/>
      <c r="S36" s="552"/>
      <c r="T36" s="612">
        <v>0</v>
      </c>
      <c r="U36" s="612"/>
      <c r="W36" s="855"/>
      <c r="X36" s="855"/>
      <c r="Y36" s="817"/>
      <c r="Z36" s="817"/>
      <c r="AA36" s="856"/>
      <c r="AB36" s="856"/>
      <c r="AC36" s="814"/>
      <c r="AD36" s="814"/>
      <c r="AE36" s="856"/>
      <c r="AF36" s="856"/>
    </row>
    <row r="37" spans="1:32" ht="17.399999999999999" x14ac:dyDescent="0.3">
      <c r="A37" t="s">
        <v>862</v>
      </c>
      <c r="B37" s="90"/>
      <c r="C37" s="544"/>
      <c r="D37" s="90"/>
      <c r="E37" s="90"/>
      <c r="F37">
        <v>500</v>
      </c>
      <c r="G37" s="550"/>
      <c r="H37" s="551"/>
      <c r="I37" s="551"/>
      <c r="J37" s="379"/>
      <c r="K37" s="551">
        <v>500</v>
      </c>
      <c r="L37" s="551"/>
      <c r="M37" s="379">
        <v>500</v>
      </c>
      <c r="N37" s="379"/>
      <c r="O37" s="612">
        <v>500</v>
      </c>
      <c r="P37" s="612"/>
      <c r="Q37" s="613">
        <v>500</v>
      </c>
      <c r="R37" s="613"/>
      <c r="S37" s="552"/>
      <c r="T37" s="612">
        <v>500</v>
      </c>
      <c r="U37" s="612"/>
      <c r="W37" s="855">
        <v>500</v>
      </c>
      <c r="X37" s="855"/>
      <c r="Y37" s="817">
        <v>500</v>
      </c>
      <c r="Z37" s="817"/>
      <c r="AA37" s="856">
        <v>500</v>
      </c>
      <c r="AB37" s="856"/>
      <c r="AC37" s="814">
        <v>500</v>
      </c>
      <c r="AD37" s="814"/>
      <c r="AE37" s="856">
        <v>500</v>
      </c>
      <c r="AF37" s="856"/>
    </row>
    <row r="38" spans="1:32" ht="17.399999999999999" x14ac:dyDescent="0.3">
      <c r="A38" t="s">
        <v>863</v>
      </c>
      <c r="B38" s="90"/>
      <c r="C38" s="544"/>
      <c r="D38" s="90"/>
      <c r="E38" s="90"/>
      <c r="F38">
        <v>30</v>
      </c>
      <c r="G38" s="550"/>
      <c r="H38" s="551"/>
      <c r="I38" s="551"/>
      <c r="J38" s="379"/>
      <c r="K38" s="551"/>
      <c r="L38" s="551"/>
      <c r="M38" s="379"/>
      <c r="N38" s="379"/>
      <c r="O38" s="612"/>
      <c r="P38" s="612"/>
      <c r="Q38" s="613"/>
      <c r="R38" s="613"/>
      <c r="S38" s="552"/>
      <c r="T38" s="612"/>
      <c r="U38" s="612"/>
      <c r="W38" s="855"/>
      <c r="X38" s="855"/>
      <c r="Y38" s="817"/>
      <c r="Z38" s="817"/>
      <c r="AA38" s="856"/>
      <c r="AB38" s="856"/>
      <c r="AC38" s="814"/>
      <c r="AD38" s="814"/>
      <c r="AE38" s="856"/>
      <c r="AF38" s="856"/>
    </row>
    <row r="39" spans="1:32" ht="17.399999999999999" x14ac:dyDescent="0.3">
      <c r="A39" t="s">
        <v>864</v>
      </c>
      <c r="B39" s="90"/>
      <c r="C39" s="544"/>
      <c r="D39" s="90"/>
      <c r="E39" s="90">
        <v>10000</v>
      </c>
      <c r="G39" s="550"/>
      <c r="H39" s="551"/>
      <c r="I39" s="551">
        <v>40000</v>
      </c>
      <c r="J39" s="379"/>
      <c r="K39" s="551"/>
      <c r="L39" s="551">
        <v>52520</v>
      </c>
      <c r="M39" s="379"/>
      <c r="N39" s="379">
        <v>35948</v>
      </c>
      <c r="O39" s="612"/>
      <c r="P39" s="612"/>
      <c r="Q39" s="613"/>
      <c r="R39" s="613"/>
      <c r="S39" s="552"/>
      <c r="T39" s="612"/>
      <c r="U39" s="612"/>
      <c r="W39" s="855"/>
      <c r="X39" s="855"/>
      <c r="Y39" s="817"/>
      <c r="Z39" s="817"/>
      <c r="AA39" s="856"/>
      <c r="AB39" s="856"/>
      <c r="AC39" s="814"/>
      <c r="AD39" s="814"/>
      <c r="AE39" s="856"/>
      <c r="AF39" s="856"/>
    </row>
    <row r="40" spans="1:32" ht="17.399999999999999" x14ac:dyDescent="0.3">
      <c r="A40" t="s">
        <v>865</v>
      </c>
      <c r="B40" s="90"/>
      <c r="C40" s="544"/>
      <c r="D40" s="90"/>
      <c r="E40" s="90"/>
      <c r="G40" s="550"/>
      <c r="H40" s="551"/>
      <c r="I40" s="551">
        <v>25000</v>
      </c>
      <c r="J40" s="379"/>
      <c r="K40" s="551"/>
      <c r="L40" s="551">
        <v>35000</v>
      </c>
      <c r="M40" s="379"/>
      <c r="N40" s="379">
        <v>28151.93</v>
      </c>
      <c r="O40" s="612"/>
      <c r="P40" s="612"/>
      <c r="Q40" s="613"/>
      <c r="R40" s="613"/>
      <c r="S40" s="552"/>
      <c r="T40" s="612"/>
      <c r="U40" s="612"/>
      <c r="W40" s="855"/>
      <c r="X40" s="855"/>
      <c r="Y40" s="817"/>
      <c r="Z40" s="817"/>
      <c r="AA40" s="856"/>
      <c r="AB40" s="856"/>
      <c r="AC40" s="814"/>
      <c r="AD40" s="814"/>
      <c r="AE40" s="856"/>
      <c r="AF40" s="856"/>
    </row>
    <row r="41" spans="1:32" ht="17.399999999999999" x14ac:dyDescent="0.3">
      <c r="A41" t="s">
        <v>866</v>
      </c>
      <c r="B41" s="90"/>
      <c r="C41" s="544"/>
      <c r="D41" s="90"/>
      <c r="E41" s="90"/>
      <c r="G41" s="550"/>
      <c r="H41" s="551"/>
      <c r="I41" s="551">
        <v>5000</v>
      </c>
      <c r="J41" s="379"/>
      <c r="K41" s="379"/>
      <c r="L41" s="551"/>
      <c r="M41" s="379"/>
      <c r="N41" s="379"/>
      <c r="O41" s="614"/>
      <c r="P41" s="612"/>
      <c r="Q41" s="613"/>
      <c r="R41" s="613"/>
      <c r="S41" s="552"/>
      <c r="T41" s="614"/>
      <c r="U41" s="612"/>
      <c r="W41" s="855"/>
      <c r="X41" s="855"/>
      <c r="Y41" s="817"/>
      <c r="Z41" s="817"/>
      <c r="AA41" s="856"/>
      <c r="AB41" s="856"/>
      <c r="AC41" s="814"/>
      <c r="AD41" s="814"/>
      <c r="AE41" s="856"/>
      <c r="AF41" s="856"/>
    </row>
    <row r="42" spans="1:32" ht="17.399999999999999" x14ac:dyDescent="0.3">
      <c r="A42" t="s">
        <v>867</v>
      </c>
      <c r="B42" s="90"/>
      <c r="C42" s="544"/>
      <c r="D42" s="90"/>
      <c r="E42" s="90"/>
      <c r="F42">
        <v>500</v>
      </c>
      <c r="G42" s="550"/>
      <c r="H42" s="551">
        <v>1560</v>
      </c>
      <c r="I42" s="551"/>
      <c r="J42" s="379">
        <v>300</v>
      </c>
      <c r="K42" s="379"/>
      <c r="L42" s="551"/>
      <c r="M42" s="379"/>
      <c r="N42" s="379"/>
      <c r="O42" s="614">
        <v>2000</v>
      </c>
      <c r="P42" s="612"/>
      <c r="Q42" s="613"/>
      <c r="R42" s="613"/>
      <c r="T42" s="612">
        <v>2000</v>
      </c>
      <c r="U42" s="612"/>
      <c r="W42" s="855">
        <v>1500</v>
      </c>
      <c r="X42" s="855"/>
      <c r="Y42" s="817"/>
      <c r="Z42" s="817"/>
      <c r="AA42" s="856">
        <v>1500</v>
      </c>
      <c r="AB42" s="856"/>
      <c r="AC42" s="814"/>
      <c r="AD42" s="814"/>
      <c r="AE42" s="856">
        <v>1000</v>
      </c>
      <c r="AF42" s="856"/>
    </row>
    <row r="43" spans="1:32" ht="17.399999999999999" x14ac:dyDescent="0.3">
      <c r="A43" t="s">
        <v>128</v>
      </c>
      <c r="B43" s="90"/>
      <c r="C43" s="544"/>
      <c r="D43" s="90"/>
      <c r="E43" s="90"/>
      <c r="G43" s="550"/>
      <c r="H43" s="551"/>
      <c r="I43" s="551"/>
      <c r="J43" s="379"/>
      <c r="K43" s="379"/>
      <c r="L43" s="551"/>
      <c r="M43" s="379"/>
      <c r="N43" s="379"/>
      <c r="O43" s="614"/>
      <c r="P43" s="612"/>
      <c r="Q43" s="615">
        <v>329.69</v>
      </c>
      <c r="R43" s="613"/>
      <c r="S43" s="552" t="s">
        <v>868</v>
      </c>
      <c r="T43" s="612"/>
      <c r="U43" s="612"/>
      <c r="W43" s="855"/>
      <c r="X43" s="855"/>
      <c r="Y43" s="817"/>
      <c r="Z43" s="817"/>
      <c r="AA43" s="856"/>
      <c r="AB43" s="856"/>
      <c r="AC43" s="814"/>
      <c r="AD43" s="814"/>
      <c r="AE43" s="856"/>
      <c r="AF43" s="856"/>
    </row>
    <row r="44" spans="1:32" ht="28.8" x14ac:dyDescent="0.3">
      <c r="A44" s="311" t="s">
        <v>1176</v>
      </c>
      <c r="B44" s="90"/>
      <c r="C44" s="544"/>
      <c r="D44" s="90"/>
      <c r="E44" s="90"/>
      <c r="G44" s="550"/>
      <c r="H44" s="551"/>
      <c r="I44" s="551"/>
      <c r="J44" s="379"/>
      <c r="K44" s="379"/>
      <c r="L44" s="551"/>
      <c r="M44" s="379"/>
      <c r="N44" s="379"/>
      <c r="O44" s="614"/>
      <c r="P44" s="612"/>
      <c r="Q44" s="615"/>
      <c r="R44" s="613"/>
      <c r="S44" s="552"/>
      <c r="T44" s="612"/>
      <c r="U44" s="612"/>
      <c r="W44" s="855"/>
      <c r="X44" s="855"/>
      <c r="Y44" s="817"/>
      <c r="Z44" s="817"/>
      <c r="AA44" s="856"/>
      <c r="AB44" s="856"/>
      <c r="AC44" s="814"/>
      <c r="AD44" s="814"/>
      <c r="AE44" s="856">
        <v>5000</v>
      </c>
      <c r="AF44" s="856"/>
    </row>
    <row r="45" spans="1:32" s="89" customFormat="1" ht="18" thickBot="1" x14ac:dyDescent="0.35">
      <c r="B45" s="616">
        <f t="shared" ref="B45:N45" si="1">SUM(B25:B42)</f>
        <v>15140</v>
      </c>
      <c r="C45" s="154">
        <f t="shared" si="1"/>
        <v>2998</v>
      </c>
      <c r="D45" s="616">
        <f t="shared" si="1"/>
        <v>0</v>
      </c>
      <c r="E45" s="616">
        <f t="shared" si="1"/>
        <v>45000</v>
      </c>
      <c r="F45" s="154">
        <f t="shared" si="1"/>
        <v>5789.08</v>
      </c>
      <c r="G45" s="154">
        <f t="shared" si="1"/>
        <v>9268.74</v>
      </c>
      <c r="H45" s="617">
        <f t="shared" si="1"/>
        <v>13000</v>
      </c>
      <c r="I45" s="617">
        <f t="shared" si="1"/>
        <v>78387.600000000006</v>
      </c>
      <c r="J45" s="618">
        <f t="shared" si="1"/>
        <v>4707.7</v>
      </c>
      <c r="K45" s="617">
        <f t="shared" si="1"/>
        <v>9590</v>
      </c>
      <c r="L45" s="617">
        <f t="shared" si="1"/>
        <v>97520</v>
      </c>
      <c r="M45" s="618">
        <f t="shared" si="1"/>
        <v>5942.21</v>
      </c>
      <c r="N45" s="618">
        <f t="shared" si="1"/>
        <v>69099.929999999993</v>
      </c>
      <c r="O45" s="619">
        <f>SUM(O25:O42)</f>
        <v>10940</v>
      </c>
      <c r="P45" s="619">
        <f>SUM(P25:P42)</f>
        <v>9500</v>
      </c>
      <c r="Q45" s="620">
        <f>SUM(Q25:Q43)</f>
        <v>8730.8000000000011</v>
      </c>
      <c r="R45" s="620">
        <f>SUM(R25:R42)</f>
        <v>5750.17</v>
      </c>
      <c r="S45" s="620"/>
      <c r="T45" s="619">
        <f t="shared" ref="T45:AB45" si="2">SUM(T25:T42)</f>
        <v>5800</v>
      </c>
      <c r="U45" s="619">
        <f t="shared" si="2"/>
        <v>18000</v>
      </c>
      <c r="V45" s="619">
        <f t="shared" si="2"/>
        <v>0</v>
      </c>
      <c r="W45" s="857">
        <f t="shared" si="2"/>
        <v>4800</v>
      </c>
      <c r="X45" s="857">
        <f t="shared" si="2"/>
        <v>8000</v>
      </c>
      <c r="Y45" s="858">
        <f t="shared" si="2"/>
        <v>1000</v>
      </c>
      <c r="Z45" s="858">
        <f t="shared" si="2"/>
        <v>1485</v>
      </c>
      <c r="AA45" s="857">
        <f t="shared" si="2"/>
        <v>19800</v>
      </c>
      <c r="AB45" s="857">
        <f t="shared" si="2"/>
        <v>5500</v>
      </c>
      <c r="AC45" s="858">
        <f>SUM(AC25:AC44)</f>
        <v>12296.26</v>
      </c>
      <c r="AD45" s="858">
        <f>SUM(AD25:AD44)</f>
        <v>4000</v>
      </c>
      <c r="AE45" s="857">
        <f>SUM(AE25:AE44)</f>
        <v>8550</v>
      </c>
      <c r="AF45" s="857">
        <f>SUM(AF25:AF44)</f>
        <v>2000</v>
      </c>
    </row>
    <row r="46" spans="1:32" ht="15" thickTop="1" x14ac:dyDescent="0.3">
      <c r="B46" s="90"/>
      <c r="C46" s="544"/>
      <c r="D46" s="90"/>
      <c r="E46" s="90"/>
    </row>
    <row r="47" spans="1:32" x14ac:dyDescent="0.3">
      <c r="A47" t="s">
        <v>869</v>
      </c>
      <c r="B47" s="90">
        <v>6000</v>
      </c>
      <c r="C47" s="544">
        <v>4056</v>
      </c>
      <c r="D47" s="90">
        <v>6500</v>
      </c>
      <c r="E47" s="90"/>
      <c r="F47">
        <v>4040</v>
      </c>
      <c r="L47" t="s">
        <v>89</v>
      </c>
      <c r="M47">
        <f>K45-M45</f>
        <v>3647.79</v>
      </c>
      <c r="N47">
        <f>L45-N45</f>
        <v>28420.070000000007</v>
      </c>
      <c r="W47" s="9">
        <v>15000</v>
      </c>
      <c r="Y47" s="89">
        <v>7046.96</v>
      </c>
    </row>
    <row r="48" spans="1:32" ht="15" thickBot="1" x14ac:dyDescent="0.35">
      <c r="F48" s="579">
        <f>F45+F47</f>
        <v>9829.08</v>
      </c>
      <c r="G48">
        <v>8299.08</v>
      </c>
    </row>
    <row r="49" spans="6:7" ht="15.6" thickTop="1" thickBot="1" x14ac:dyDescent="0.35">
      <c r="G49" s="579">
        <f>F48+G45</f>
        <v>19097.82</v>
      </c>
    </row>
    <row r="50" spans="6:7" ht="15" thickTop="1" x14ac:dyDescent="0.3">
      <c r="F50">
        <v>1379.08</v>
      </c>
    </row>
  </sheetData>
  <mergeCells count="1">
    <mergeCell ref="T23:U23"/>
  </mergeCells>
  <phoneticPr fontId="47" type="noConversion"/>
  <pageMargins left="0.70866141732283472" right="0.70866141732283472" top="0.74803149606299213" bottom="0.74803149606299213" header="0.31496062992125984" footer="0.31496062992125984"/>
  <pageSetup paperSize="9" scale="83" orientation="landscape" horizontalDpi="4294967293" verticalDpi="4294967293" r:id="rId1"/>
  <headerFooter>
    <oddHeader xml:space="preserve">&amp;CWest Coker Parish Council 
Grants </oddHeader>
    <oddFooter>&amp;L&amp;F&amp;C&amp;P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J80"/>
  <sheetViews>
    <sheetView topLeftCell="A62" workbookViewId="0">
      <selection activeCell="C76" sqref="C76"/>
    </sheetView>
  </sheetViews>
  <sheetFormatPr defaultRowHeight="14.4" x14ac:dyDescent="0.3"/>
  <cols>
    <col min="1" max="1" width="9.6640625" bestFit="1" customWidth="1"/>
    <col min="2" max="2" width="13.5546875" style="155" bestFit="1" customWidth="1"/>
    <col min="3" max="3" width="42.88671875" customWidth="1"/>
    <col min="4" max="4" width="8.6640625" bestFit="1" customWidth="1"/>
    <col min="5" max="5" width="13.6640625" style="151" customWidth="1"/>
    <col min="6" max="6" width="15.88671875" style="161" customWidth="1"/>
    <col min="7" max="7" width="13" customWidth="1"/>
    <col min="8" max="8" width="10.5546875" customWidth="1"/>
  </cols>
  <sheetData>
    <row r="4" spans="2:10" ht="18" x14ac:dyDescent="0.35">
      <c r="B4" s="555" t="s">
        <v>761</v>
      </c>
    </row>
    <row r="6" spans="2:10" x14ac:dyDescent="0.3">
      <c r="B6" s="556">
        <v>45035</v>
      </c>
    </row>
    <row r="9" spans="2:10" ht="44.25" customHeight="1" x14ac:dyDescent="0.3">
      <c r="B9" s="557" t="s">
        <v>762</v>
      </c>
      <c r="C9" s="150" t="s">
        <v>763</v>
      </c>
      <c r="D9" s="150" t="s">
        <v>764</v>
      </c>
      <c r="E9" s="558" t="s">
        <v>765</v>
      </c>
      <c r="F9" s="581" t="s">
        <v>766</v>
      </c>
      <c r="G9" s="559" t="s">
        <v>767</v>
      </c>
      <c r="H9" s="560" t="s">
        <v>768</v>
      </c>
      <c r="I9" s="560" t="s">
        <v>769</v>
      </c>
      <c r="J9" s="560" t="s">
        <v>770</v>
      </c>
    </row>
    <row r="10" spans="2:10" ht="17.25" customHeight="1" x14ac:dyDescent="0.3">
      <c r="B10" s="557"/>
      <c r="C10" s="150"/>
      <c r="D10" s="150"/>
      <c r="E10" s="558"/>
      <c r="F10" s="581"/>
      <c r="G10" s="559"/>
    </row>
    <row r="11" spans="2:10" ht="15.6" x14ac:dyDescent="0.3">
      <c r="B11" s="155" t="s">
        <v>771</v>
      </c>
      <c r="C11" t="s">
        <v>772</v>
      </c>
      <c r="D11" s="379">
        <v>1</v>
      </c>
      <c r="E11" s="447">
        <v>617</v>
      </c>
      <c r="F11" s="979">
        <v>617</v>
      </c>
      <c r="G11" s="379"/>
      <c r="H11" s="379">
        <v>2000</v>
      </c>
      <c r="I11" s="379"/>
      <c r="J11" s="379"/>
    </row>
    <row r="12" spans="2:10" ht="15.6" x14ac:dyDescent="0.3">
      <c r="B12" s="155">
        <v>2011</v>
      </c>
      <c r="C12" t="s">
        <v>773</v>
      </c>
      <c r="D12" s="379">
        <v>8</v>
      </c>
      <c r="E12" s="447">
        <f>F12/8</f>
        <v>112.75</v>
      </c>
      <c r="F12" s="979">
        <v>902</v>
      </c>
      <c r="G12" s="379"/>
      <c r="H12" s="379">
        <v>902</v>
      </c>
      <c r="I12" s="379"/>
      <c r="J12" s="379"/>
    </row>
    <row r="13" spans="2:10" ht="15.6" x14ac:dyDescent="0.3">
      <c r="B13" s="155">
        <v>2011</v>
      </c>
      <c r="C13" t="s">
        <v>772</v>
      </c>
      <c r="D13" s="379">
        <v>1</v>
      </c>
      <c r="E13" s="447">
        <v>1748</v>
      </c>
      <c r="F13" s="979">
        <v>1748</v>
      </c>
      <c r="G13" s="379"/>
      <c r="H13" s="379">
        <v>2000</v>
      </c>
      <c r="I13" s="379"/>
      <c r="J13" s="379"/>
    </row>
    <row r="14" spans="2:10" ht="15.6" x14ac:dyDescent="0.3">
      <c r="B14" s="155" t="s">
        <v>774</v>
      </c>
      <c r="C14" t="s">
        <v>775</v>
      </c>
      <c r="D14" s="379">
        <v>0</v>
      </c>
      <c r="E14" s="447"/>
      <c r="F14" s="979"/>
      <c r="G14" s="379"/>
      <c r="H14" s="379"/>
      <c r="I14" s="379"/>
      <c r="J14" s="379">
        <v>400</v>
      </c>
    </row>
    <row r="15" spans="2:10" ht="15.6" x14ac:dyDescent="0.3">
      <c r="B15" s="155" t="s">
        <v>776</v>
      </c>
      <c r="C15" t="s">
        <v>777</v>
      </c>
      <c r="D15" s="379">
        <v>1</v>
      </c>
      <c r="E15" s="447">
        <v>100</v>
      </c>
      <c r="F15" s="979">
        <v>100</v>
      </c>
      <c r="G15" s="379"/>
      <c r="H15" s="379">
        <v>100</v>
      </c>
      <c r="I15" s="379"/>
      <c r="J15" s="379"/>
    </row>
    <row r="16" spans="2:10" ht="15.6" x14ac:dyDescent="0.3">
      <c r="B16" s="155" t="s">
        <v>778</v>
      </c>
      <c r="C16" t="s">
        <v>779</v>
      </c>
      <c r="D16" s="379">
        <v>1</v>
      </c>
      <c r="E16" s="447">
        <v>197.7</v>
      </c>
      <c r="F16" s="979">
        <v>197.7</v>
      </c>
      <c r="G16" s="379"/>
      <c r="H16" s="379">
        <v>197.7</v>
      </c>
      <c r="I16" s="379"/>
      <c r="J16" s="379"/>
    </row>
    <row r="17" spans="1:10" ht="15.6" x14ac:dyDescent="0.3">
      <c r="C17" t="s">
        <v>780</v>
      </c>
      <c r="D17" s="379">
        <v>1</v>
      </c>
      <c r="E17" s="447">
        <v>1</v>
      </c>
      <c r="F17" s="979">
        <v>1</v>
      </c>
      <c r="G17" s="379"/>
      <c r="H17" s="379">
        <v>10000</v>
      </c>
      <c r="I17" s="379"/>
      <c r="J17" s="379"/>
    </row>
    <row r="18" spans="1:10" ht="15.6" x14ac:dyDescent="0.3">
      <c r="C18" t="s">
        <v>781</v>
      </c>
      <c r="D18" s="379">
        <v>1</v>
      </c>
      <c r="E18" s="447">
        <v>1</v>
      </c>
      <c r="F18" s="979">
        <v>1</v>
      </c>
      <c r="G18" s="379"/>
      <c r="H18" s="379">
        <v>200</v>
      </c>
      <c r="I18" s="379"/>
      <c r="J18" s="379"/>
    </row>
    <row r="19" spans="1:10" ht="15.6" x14ac:dyDescent="0.3">
      <c r="B19" s="561"/>
      <c r="D19" s="379"/>
      <c r="E19" s="447"/>
      <c r="F19" s="979"/>
      <c r="G19" s="379"/>
      <c r="H19" s="379"/>
      <c r="I19" s="379"/>
      <c r="J19" s="379"/>
    </row>
    <row r="20" spans="1:10" ht="15.6" x14ac:dyDescent="0.3">
      <c r="C20" s="150" t="s">
        <v>782</v>
      </c>
      <c r="D20" s="379"/>
      <c r="E20" s="447"/>
      <c r="F20" s="979"/>
      <c r="G20" s="379"/>
      <c r="H20" s="379"/>
      <c r="I20" s="379"/>
      <c r="J20" s="379"/>
    </row>
    <row r="21" spans="1:10" ht="15.6" x14ac:dyDescent="0.3">
      <c r="B21" s="561">
        <v>42769</v>
      </c>
      <c r="C21" t="s">
        <v>783</v>
      </c>
      <c r="D21" s="379">
        <v>1</v>
      </c>
      <c r="E21" s="447">
        <v>196.02</v>
      </c>
      <c r="F21" s="979">
        <v>196.02</v>
      </c>
      <c r="G21" s="379"/>
      <c r="H21" s="379"/>
      <c r="I21" s="379"/>
      <c r="J21" s="379"/>
    </row>
    <row r="22" spans="1:10" ht="15.6" x14ac:dyDescent="0.3">
      <c r="B22" s="561">
        <v>42440</v>
      </c>
      <c r="C22" t="s">
        <v>784</v>
      </c>
      <c r="D22" s="379">
        <v>3</v>
      </c>
      <c r="E22" s="447">
        <v>368</v>
      </c>
      <c r="F22" s="979">
        <f>368*3</f>
        <v>1104</v>
      </c>
      <c r="G22" s="379"/>
      <c r="H22" s="379">
        <v>1104</v>
      </c>
      <c r="I22" s="379"/>
      <c r="J22" s="379">
        <v>368</v>
      </c>
    </row>
    <row r="23" spans="1:10" ht="15.6" x14ac:dyDescent="0.3">
      <c r="B23" s="561">
        <v>42558</v>
      </c>
      <c r="C23" t="s">
        <v>785</v>
      </c>
      <c r="D23" s="379">
        <v>4</v>
      </c>
      <c r="E23" s="447">
        <f>F23/4</f>
        <v>400</v>
      </c>
      <c r="F23" s="979">
        <v>1600</v>
      </c>
      <c r="G23" s="379"/>
      <c r="H23" s="379">
        <v>1600</v>
      </c>
      <c r="I23" s="379"/>
      <c r="J23" s="379"/>
    </row>
    <row r="24" spans="1:10" ht="15.6" x14ac:dyDescent="0.3">
      <c r="B24" s="561">
        <v>42893</v>
      </c>
      <c r="C24" t="s">
        <v>783</v>
      </c>
      <c r="D24" s="379">
        <v>1</v>
      </c>
      <c r="E24" s="447">
        <v>221.38</v>
      </c>
      <c r="F24" s="979">
        <v>221.38</v>
      </c>
      <c r="G24" s="379"/>
      <c r="H24" s="379"/>
      <c r="I24" s="379"/>
      <c r="J24" s="379"/>
    </row>
    <row r="25" spans="1:10" ht="15.6" x14ac:dyDescent="0.3">
      <c r="D25" s="379"/>
      <c r="E25" s="447"/>
      <c r="F25" s="979"/>
      <c r="G25" s="379"/>
      <c r="H25" s="379"/>
      <c r="I25" s="379"/>
      <c r="J25" s="379"/>
    </row>
    <row r="26" spans="1:10" ht="15.6" x14ac:dyDescent="0.3">
      <c r="A26" s="152"/>
      <c r="B26" s="561">
        <v>43263</v>
      </c>
      <c r="C26" t="s">
        <v>779</v>
      </c>
      <c r="D26" s="379">
        <v>1</v>
      </c>
      <c r="E26" s="447">
        <v>126.69</v>
      </c>
      <c r="F26" s="979">
        <v>126.69</v>
      </c>
      <c r="G26" s="379"/>
      <c r="H26" s="379">
        <v>126.69</v>
      </c>
      <c r="I26" s="379"/>
      <c r="J26" s="379"/>
    </row>
    <row r="27" spans="1:10" ht="15.6" x14ac:dyDescent="0.3">
      <c r="B27" s="561">
        <v>43503</v>
      </c>
      <c r="C27" t="s">
        <v>786</v>
      </c>
      <c r="D27" s="379">
        <v>3</v>
      </c>
      <c r="E27" s="447">
        <f>F27/3</f>
        <v>809.66666666666663</v>
      </c>
      <c r="F27" s="979">
        <v>2429</v>
      </c>
      <c r="G27" s="379"/>
      <c r="H27" s="379">
        <v>2429</v>
      </c>
      <c r="I27" s="379"/>
      <c r="J27" s="379"/>
    </row>
    <row r="28" spans="1:10" ht="15.6" x14ac:dyDescent="0.3">
      <c r="D28" s="379"/>
      <c r="E28" s="447"/>
      <c r="F28" s="979"/>
      <c r="G28" s="379"/>
      <c r="H28" s="379"/>
      <c r="I28" s="379"/>
      <c r="J28" s="379"/>
    </row>
    <row r="29" spans="1:10" ht="16.2" thickBot="1" x14ac:dyDescent="0.35">
      <c r="D29" s="379"/>
      <c r="E29" s="447"/>
      <c r="F29" s="980">
        <f>SUM(F11:F28)</f>
        <v>9243.7899999999991</v>
      </c>
      <c r="G29" s="379"/>
      <c r="H29" s="379"/>
      <c r="I29" s="379"/>
      <c r="J29" s="379"/>
    </row>
    <row r="30" spans="1:10" ht="16.2" thickTop="1" x14ac:dyDescent="0.3">
      <c r="B30" s="557" t="s">
        <v>5</v>
      </c>
      <c r="C30" s="89" t="s">
        <v>787</v>
      </c>
      <c r="D30" s="379"/>
      <c r="E30" s="447"/>
      <c r="F30" s="979"/>
      <c r="G30" s="379"/>
      <c r="H30" s="379"/>
      <c r="I30" s="379"/>
      <c r="J30" s="379"/>
    </row>
    <row r="31" spans="1:10" ht="15.6" x14ac:dyDescent="0.3">
      <c r="D31" s="379"/>
      <c r="E31" s="447"/>
      <c r="F31" s="979"/>
      <c r="G31" s="379"/>
      <c r="H31" s="379"/>
      <c r="I31" s="379"/>
      <c r="J31" s="379"/>
    </row>
    <row r="32" spans="1:10" ht="15.6" x14ac:dyDescent="0.3">
      <c r="B32" s="561">
        <v>43644</v>
      </c>
      <c r="C32" t="s">
        <v>788</v>
      </c>
      <c r="D32" s="379">
        <v>1</v>
      </c>
      <c r="E32" s="447">
        <v>124.98</v>
      </c>
      <c r="F32" s="979">
        <v>124.98</v>
      </c>
      <c r="G32" s="379"/>
      <c r="H32" s="379">
        <v>124.98</v>
      </c>
      <c r="I32" s="379"/>
      <c r="J32" s="379"/>
    </row>
    <row r="33" spans="2:10" ht="15.6" x14ac:dyDescent="0.3">
      <c r="B33" s="561">
        <v>43678</v>
      </c>
      <c r="C33" t="s">
        <v>789</v>
      </c>
      <c r="D33" s="379">
        <v>1</v>
      </c>
      <c r="E33" s="447">
        <v>290.83</v>
      </c>
      <c r="F33" s="979">
        <v>290.83</v>
      </c>
      <c r="G33" s="379"/>
      <c r="H33" s="379">
        <v>290.83</v>
      </c>
      <c r="I33" s="379"/>
      <c r="J33" s="379"/>
    </row>
    <row r="34" spans="2:10" ht="15.6" x14ac:dyDescent="0.3">
      <c r="D34" s="379"/>
      <c r="E34" s="447"/>
      <c r="F34" s="979"/>
      <c r="G34" s="379"/>
      <c r="H34" s="379"/>
      <c r="I34" s="379"/>
      <c r="J34" s="379"/>
    </row>
    <row r="35" spans="2:10" ht="16.2" thickBot="1" x14ac:dyDescent="0.35">
      <c r="D35" s="379"/>
      <c r="E35" s="447"/>
      <c r="F35" s="980">
        <f>SUM(F29:F34)</f>
        <v>9659.5999999999985</v>
      </c>
      <c r="G35" s="379"/>
      <c r="H35" s="379"/>
      <c r="I35" s="379"/>
      <c r="J35" s="379"/>
    </row>
    <row r="36" spans="2:10" ht="16.2" thickTop="1" x14ac:dyDescent="0.3">
      <c r="D36" s="379"/>
      <c r="E36" s="447"/>
      <c r="F36" s="979"/>
      <c r="G36" s="379"/>
      <c r="H36" s="379"/>
      <c r="I36" s="379"/>
      <c r="J36" s="379"/>
    </row>
    <row r="37" spans="2:10" ht="15.6" x14ac:dyDescent="0.3">
      <c r="B37" s="557" t="s">
        <v>156</v>
      </c>
      <c r="C37" s="89" t="s">
        <v>787</v>
      </c>
      <c r="D37" s="379"/>
      <c r="E37" s="447"/>
      <c r="F37" s="979"/>
      <c r="G37" s="379"/>
      <c r="H37" s="379"/>
      <c r="I37" s="379"/>
      <c r="J37" s="379"/>
    </row>
    <row r="38" spans="2:10" ht="15.6" x14ac:dyDescent="0.3">
      <c r="D38" s="379"/>
      <c r="E38" s="447"/>
      <c r="F38" s="979"/>
      <c r="G38" s="379"/>
      <c r="H38" s="379"/>
      <c r="I38" s="379"/>
      <c r="J38" s="379"/>
    </row>
    <row r="39" spans="2:10" ht="15.6" x14ac:dyDescent="0.3">
      <c r="B39" s="561">
        <v>44245</v>
      </c>
      <c r="C39" t="s">
        <v>790</v>
      </c>
      <c r="D39" s="379">
        <v>0</v>
      </c>
      <c r="E39" s="447"/>
      <c r="F39" s="979"/>
      <c r="G39" s="379"/>
      <c r="H39" s="379">
        <v>0</v>
      </c>
      <c r="I39" s="379">
        <v>4000</v>
      </c>
      <c r="J39" s="379"/>
    </row>
    <row r="40" spans="2:10" ht="15.6" x14ac:dyDescent="0.3">
      <c r="B40" s="561">
        <v>44259</v>
      </c>
      <c r="C40" t="s">
        <v>791</v>
      </c>
      <c r="D40" s="379">
        <v>2</v>
      </c>
      <c r="E40" s="447">
        <v>66</v>
      </c>
      <c r="F40" s="979">
        <v>132</v>
      </c>
      <c r="G40" s="379"/>
      <c r="H40" s="379"/>
      <c r="I40" s="379"/>
      <c r="J40" s="379"/>
    </row>
    <row r="41" spans="2:10" ht="15.6" x14ac:dyDescent="0.3">
      <c r="D41" s="379"/>
      <c r="E41" s="447"/>
      <c r="F41" s="979"/>
      <c r="G41" s="379"/>
      <c r="H41" s="379"/>
      <c r="I41" s="379"/>
      <c r="J41" s="379"/>
    </row>
    <row r="42" spans="2:10" ht="16.2" thickBot="1" x14ac:dyDescent="0.35">
      <c r="D42" s="379"/>
      <c r="E42" s="447"/>
      <c r="F42" s="980">
        <f>F35+F39+F40</f>
        <v>9791.5999999999985</v>
      </c>
      <c r="G42" s="379"/>
      <c r="H42" s="379"/>
      <c r="I42" s="379"/>
      <c r="J42" s="379"/>
    </row>
    <row r="43" spans="2:10" ht="16.2" thickTop="1" x14ac:dyDescent="0.3">
      <c r="D43" s="379"/>
      <c r="E43" s="447"/>
      <c r="F43" s="979"/>
      <c r="G43" s="379"/>
      <c r="H43" s="379"/>
      <c r="I43" s="379"/>
      <c r="J43" s="379"/>
    </row>
    <row r="44" spans="2:10" ht="15.6" x14ac:dyDescent="0.3">
      <c r="B44" s="557" t="s">
        <v>161</v>
      </c>
      <c r="C44" s="89" t="s">
        <v>787</v>
      </c>
      <c r="D44" s="379"/>
      <c r="E44" s="447"/>
      <c r="F44" s="979"/>
      <c r="G44" s="379"/>
      <c r="H44" s="379"/>
      <c r="I44" s="379"/>
      <c r="J44" s="379"/>
    </row>
    <row r="45" spans="2:10" ht="15.6" x14ac:dyDescent="0.3">
      <c r="C45" t="s">
        <v>792</v>
      </c>
      <c r="D45" s="379">
        <v>1</v>
      </c>
      <c r="E45" s="447">
        <v>1</v>
      </c>
      <c r="F45" s="979">
        <v>1</v>
      </c>
      <c r="G45" s="379"/>
      <c r="H45" s="379">
        <v>1000</v>
      </c>
      <c r="I45" s="379"/>
      <c r="J45" s="379"/>
    </row>
    <row r="46" spans="2:10" ht="15.6" x14ac:dyDescent="0.3">
      <c r="B46" s="561">
        <v>44333</v>
      </c>
      <c r="C46" t="s">
        <v>793</v>
      </c>
      <c r="D46" s="379">
        <v>1</v>
      </c>
      <c r="E46" s="447">
        <v>3115</v>
      </c>
      <c r="F46" s="979">
        <v>3115</v>
      </c>
      <c r="G46" s="379"/>
      <c r="H46" s="379">
        <v>3115</v>
      </c>
      <c r="I46" s="379">
        <v>2000</v>
      </c>
      <c r="J46" s="379"/>
    </row>
    <row r="47" spans="2:10" ht="15.6" x14ac:dyDescent="0.3">
      <c r="B47" s="561">
        <v>44532</v>
      </c>
      <c r="C47" t="s">
        <v>779</v>
      </c>
      <c r="D47" s="379">
        <v>2</v>
      </c>
      <c r="E47" s="447">
        <v>145</v>
      </c>
      <c r="F47" s="979">
        <f>E47*D47</f>
        <v>290</v>
      </c>
      <c r="G47" s="379"/>
      <c r="H47" s="379">
        <v>290</v>
      </c>
      <c r="I47" s="379"/>
      <c r="J47" s="379"/>
    </row>
    <row r="48" spans="2:10" ht="15.6" x14ac:dyDescent="0.3">
      <c r="D48" s="379"/>
      <c r="E48" s="447"/>
      <c r="F48" s="979"/>
      <c r="G48" s="379"/>
      <c r="H48" s="379"/>
      <c r="I48" s="379"/>
      <c r="J48" s="379"/>
    </row>
    <row r="49" spans="2:10" ht="16.2" thickBot="1" x14ac:dyDescent="0.35">
      <c r="D49" s="379"/>
      <c r="E49" s="447"/>
      <c r="F49" s="980">
        <f>SUM(F42:F47)</f>
        <v>13197.599999999999</v>
      </c>
      <c r="G49" s="379"/>
      <c r="H49" s="379"/>
      <c r="I49" s="379"/>
      <c r="J49" s="379"/>
    </row>
    <row r="50" spans="2:10" ht="16.2" thickTop="1" x14ac:dyDescent="0.3">
      <c r="D50" s="379"/>
      <c r="E50" s="447"/>
      <c r="F50" s="979"/>
      <c r="G50" s="379"/>
      <c r="H50" s="379"/>
      <c r="I50" s="379"/>
      <c r="J50" s="379"/>
    </row>
    <row r="51" spans="2:10" ht="15.6" x14ac:dyDescent="0.3">
      <c r="B51" s="557" t="s">
        <v>216</v>
      </c>
      <c r="C51" s="89" t="s">
        <v>787</v>
      </c>
      <c r="D51" s="379"/>
      <c r="E51" s="447"/>
      <c r="F51" s="979"/>
      <c r="G51" s="379"/>
      <c r="H51" s="379"/>
      <c r="I51" s="379"/>
      <c r="J51" s="379"/>
    </row>
    <row r="52" spans="2:10" ht="15.6" x14ac:dyDescent="0.3">
      <c r="D52" s="379"/>
      <c r="E52" s="447"/>
      <c r="F52" s="979"/>
      <c r="G52" s="379"/>
      <c r="H52" s="379"/>
      <c r="I52" s="379"/>
      <c r="J52" s="379"/>
    </row>
    <row r="53" spans="2:10" ht="15.6" x14ac:dyDescent="0.3">
      <c r="B53" s="561">
        <v>44664</v>
      </c>
      <c r="C53" t="s">
        <v>794</v>
      </c>
      <c r="D53" s="379">
        <v>1</v>
      </c>
      <c r="E53" s="447">
        <v>960</v>
      </c>
      <c r="F53" s="979">
        <v>960</v>
      </c>
      <c r="G53" s="379"/>
      <c r="H53" s="379">
        <v>960</v>
      </c>
      <c r="I53" s="379"/>
      <c r="J53" s="379"/>
    </row>
    <row r="54" spans="2:10" ht="15.6" x14ac:dyDescent="0.3">
      <c r="B54" s="561">
        <v>44694</v>
      </c>
      <c r="C54" t="s">
        <v>795</v>
      </c>
      <c r="D54" s="379">
        <v>1</v>
      </c>
      <c r="E54" s="447">
        <v>453</v>
      </c>
      <c r="F54" s="979">
        <v>453</v>
      </c>
      <c r="G54" s="379"/>
      <c r="H54" s="379">
        <v>453</v>
      </c>
      <c r="I54" s="379"/>
      <c r="J54" s="379"/>
    </row>
    <row r="55" spans="2:10" ht="15.6" x14ac:dyDescent="0.3">
      <c r="B55" s="561">
        <v>44694</v>
      </c>
      <c r="C55" t="s">
        <v>703</v>
      </c>
      <c r="D55" s="379">
        <v>1</v>
      </c>
      <c r="E55" s="447">
        <v>1005.75</v>
      </c>
      <c r="F55" s="979">
        <v>1005.75</v>
      </c>
      <c r="G55" s="379"/>
      <c r="H55" s="379">
        <v>2011</v>
      </c>
      <c r="I55" s="379"/>
      <c r="J55" s="379"/>
    </row>
    <row r="56" spans="2:10" ht="15.6" x14ac:dyDescent="0.3">
      <c r="B56" s="561">
        <v>44985</v>
      </c>
      <c r="C56" t="s">
        <v>796</v>
      </c>
      <c r="D56" s="379">
        <v>2</v>
      </c>
      <c r="E56" s="447">
        <v>765.75</v>
      </c>
      <c r="F56" s="979">
        <f>D56*E56</f>
        <v>1531.5</v>
      </c>
      <c r="G56" s="379"/>
      <c r="H56" s="379">
        <v>1531.5</v>
      </c>
      <c r="I56" s="379"/>
      <c r="J56" s="379"/>
    </row>
    <row r="57" spans="2:10" ht="15.6" x14ac:dyDescent="0.3">
      <c r="D57" s="379"/>
      <c r="E57" s="447"/>
      <c r="F57" s="979"/>
      <c r="G57" s="379"/>
      <c r="H57" s="379"/>
      <c r="I57" s="379"/>
      <c r="J57" s="379"/>
    </row>
    <row r="58" spans="2:10" ht="16.2" thickBot="1" x14ac:dyDescent="0.35">
      <c r="D58" s="379"/>
      <c r="E58" s="447"/>
      <c r="F58" s="980">
        <f>F49+F53+F54+F55+F56</f>
        <v>17147.849999999999</v>
      </c>
      <c r="G58" s="379"/>
      <c r="H58" s="981">
        <f>SUM(H11:H56)</f>
        <v>30435.7</v>
      </c>
      <c r="I58" s="982">
        <f>SUM(I11:I56)</f>
        <v>6000</v>
      </c>
      <c r="J58" s="982">
        <f>SUM(J11:J56)</f>
        <v>768</v>
      </c>
    </row>
    <row r="59" spans="2:10" ht="16.2" thickTop="1" x14ac:dyDescent="0.3">
      <c r="D59" s="379"/>
      <c r="E59" s="447"/>
      <c r="F59" s="979"/>
      <c r="G59" s="379"/>
      <c r="H59" s="379"/>
      <c r="I59" s="379"/>
      <c r="J59" s="379"/>
    </row>
    <row r="60" spans="2:10" ht="15.6" x14ac:dyDescent="0.3">
      <c r="B60" s="557" t="s">
        <v>797</v>
      </c>
      <c r="D60" s="379"/>
      <c r="E60" s="447"/>
      <c r="F60" s="979"/>
      <c r="G60" s="379"/>
      <c r="H60" s="379"/>
      <c r="I60" s="379"/>
      <c r="J60" s="379"/>
    </row>
    <row r="61" spans="2:10" ht="15.6" x14ac:dyDescent="0.3">
      <c r="B61" s="557"/>
      <c r="D61" s="379"/>
      <c r="E61" s="447"/>
      <c r="F61" s="979"/>
      <c r="G61" s="379"/>
      <c r="H61" s="379"/>
      <c r="I61" s="379"/>
      <c r="J61" s="379"/>
    </row>
    <row r="62" spans="2:10" ht="15.6" x14ac:dyDescent="0.3">
      <c r="B62" s="561">
        <v>45017</v>
      </c>
      <c r="C62" t="s">
        <v>798</v>
      </c>
      <c r="D62" s="379">
        <v>1</v>
      </c>
      <c r="E62" s="447">
        <v>1</v>
      </c>
      <c r="F62" s="979">
        <v>1</v>
      </c>
      <c r="G62" s="379"/>
      <c r="H62" s="379">
        <v>10000</v>
      </c>
      <c r="I62" s="379"/>
      <c r="J62" s="379"/>
    </row>
    <row r="63" spans="2:10" ht="15.6" x14ac:dyDescent="0.3">
      <c r="B63" s="561">
        <v>45113</v>
      </c>
      <c r="C63" t="s">
        <v>799</v>
      </c>
      <c r="D63" s="379">
        <v>2</v>
      </c>
      <c r="E63" s="447">
        <v>83.323999999999998</v>
      </c>
      <c r="F63" s="979">
        <f>D63*E63</f>
        <v>166.648</v>
      </c>
      <c r="G63" s="379"/>
      <c r="H63" s="379">
        <v>166.65</v>
      </c>
      <c r="I63" s="379"/>
      <c r="J63" s="379"/>
    </row>
    <row r="64" spans="2:10" ht="15.6" x14ac:dyDescent="0.3">
      <c r="D64" s="379"/>
      <c r="E64" s="447"/>
      <c r="F64" s="979"/>
      <c r="G64" s="379"/>
      <c r="H64" s="379"/>
      <c r="I64" s="379"/>
      <c r="J64" s="379"/>
    </row>
    <row r="65" spans="2:10" ht="16.2" thickBot="1" x14ac:dyDescent="0.35">
      <c r="D65" s="379"/>
      <c r="E65" s="447"/>
      <c r="F65" s="980">
        <f>SUM(F58+F62+F63)</f>
        <v>17315.498</v>
      </c>
      <c r="G65" s="379"/>
      <c r="H65" s="981">
        <f>H58+H62+H63</f>
        <v>40602.35</v>
      </c>
      <c r="I65" s="982"/>
      <c r="J65" s="982"/>
    </row>
    <row r="66" spans="2:10" ht="15.6" x14ac:dyDescent="0.3">
      <c r="D66" s="379"/>
      <c r="E66" s="447"/>
      <c r="F66" s="979"/>
      <c r="G66" s="379"/>
      <c r="H66" s="379"/>
      <c r="I66" s="379"/>
      <c r="J66" s="379"/>
    </row>
    <row r="67" spans="2:10" ht="15.6" x14ac:dyDescent="0.3">
      <c r="D67" s="379"/>
      <c r="E67" s="447"/>
      <c r="F67" s="979"/>
      <c r="G67" s="379"/>
      <c r="H67" s="379"/>
      <c r="I67" s="379"/>
      <c r="J67" s="379"/>
    </row>
    <row r="68" spans="2:10" ht="15.6" x14ac:dyDescent="0.3">
      <c r="B68" s="557" t="s">
        <v>958</v>
      </c>
      <c r="D68" s="379"/>
      <c r="E68" s="447"/>
      <c r="F68" s="979"/>
      <c r="G68" s="379"/>
      <c r="H68" s="379"/>
      <c r="I68" s="379"/>
      <c r="J68" s="379"/>
    </row>
    <row r="69" spans="2:10" ht="15.6" x14ac:dyDescent="0.3">
      <c r="D69" s="379"/>
      <c r="E69" s="447"/>
      <c r="F69" s="979"/>
      <c r="G69" s="379"/>
      <c r="H69" s="379"/>
      <c r="I69" s="379"/>
      <c r="J69" s="379"/>
    </row>
    <row r="70" spans="2:10" ht="15.6" x14ac:dyDescent="0.3">
      <c r="B70" s="561">
        <v>45540</v>
      </c>
      <c r="C70" t="s">
        <v>959</v>
      </c>
      <c r="D70" s="379">
        <v>1</v>
      </c>
      <c r="E70" s="447">
        <v>79.989999999999995</v>
      </c>
      <c r="F70" s="979">
        <v>79.989999999999995</v>
      </c>
      <c r="G70" s="379"/>
      <c r="H70" s="379">
        <v>0</v>
      </c>
      <c r="I70" s="379"/>
      <c r="J70" s="379"/>
    </row>
    <row r="71" spans="2:10" ht="15.6" x14ac:dyDescent="0.3">
      <c r="B71" s="561">
        <v>45477</v>
      </c>
      <c r="C71" t="s">
        <v>960</v>
      </c>
      <c r="D71" s="379">
        <v>1</v>
      </c>
      <c r="E71" s="447">
        <v>603.45000000000005</v>
      </c>
      <c r="F71" s="979">
        <v>603.45000000000005</v>
      </c>
      <c r="G71" s="379"/>
      <c r="H71" s="379">
        <v>0</v>
      </c>
      <c r="I71" s="379"/>
      <c r="J71" s="379"/>
    </row>
    <row r="72" spans="2:10" ht="15.6" x14ac:dyDescent="0.3">
      <c r="D72" s="379"/>
      <c r="E72" s="447"/>
      <c r="F72" s="979"/>
      <c r="G72" s="379"/>
      <c r="H72" s="379"/>
      <c r="I72" s="379"/>
      <c r="J72" s="379"/>
    </row>
    <row r="73" spans="2:10" ht="16.2" thickBot="1" x14ac:dyDescent="0.35">
      <c r="D73" s="379"/>
      <c r="E73" s="447"/>
      <c r="F73" s="983">
        <f>F65+F70+F71</f>
        <v>17998.938000000002</v>
      </c>
      <c r="G73" s="379"/>
      <c r="H73" s="379"/>
      <c r="I73" s="379"/>
      <c r="J73" s="379"/>
    </row>
    <row r="74" spans="2:10" ht="16.2" thickTop="1" x14ac:dyDescent="0.3">
      <c r="D74" s="379"/>
      <c r="E74" s="447"/>
      <c r="F74" s="979"/>
      <c r="G74" s="379"/>
      <c r="H74" s="379"/>
      <c r="I74" s="379"/>
      <c r="J74" s="379"/>
    </row>
    <row r="75" spans="2:10" ht="15.6" x14ac:dyDescent="0.3">
      <c r="B75" s="557" t="s">
        <v>1334</v>
      </c>
      <c r="D75" s="379"/>
      <c r="E75" s="447"/>
      <c r="F75" s="979"/>
      <c r="G75" s="379"/>
      <c r="H75" s="379"/>
      <c r="I75" s="379"/>
      <c r="J75" s="379"/>
    </row>
    <row r="76" spans="2:10" ht="15.6" x14ac:dyDescent="0.3">
      <c r="D76" s="379"/>
      <c r="E76" s="447"/>
      <c r="F76" s="979"/>
      <c r="G76" s="379"/>
      <c r="H76" s="379"/>
      <c r="I76" s="379"/>
      <c r="J76" s="379"/>
    </row>
    <row r="77" spans="2:10" ht="15.6" x14ac:dyDescent="0.3">
      <c r="B77" s="561">
        <v>46086</v>
      </c>
      <c r="C77" t="s">
        <v>1335</v>
      </c>
      <c r="D77" s="379">
        <v>1</v>
      </c>
      <c r="E77" s="447">
        <v>2710.03</v>
      </c>
      <c r="F77" s="979">
        <v>2710.03</v>
      </c>
      <c r="G77" s="379"/>
      <c r="H77" s="379">
        <v>2710.03</v>
      </c>
      <c r="I77" s="379"/>
      <c r="J77" s="379"/>
    </row>
    <row r="78" spans="2:10" ht="15.6" x14ac:dyDescent="0.3">
      <c r="D78" s="379"/>
      <c r="E78" s="447"/>
      <c r="F78" s="979"/>
      <c r="G78" s="379"/>
      <c r="H78" s="379"/>
      <c r="I78" s="379"/>
      <c r="J78" s="379"/>
    </row>
    <row r="79" spans="2:10" ht="16.2" thickBot="1" x14ac:dyDescent="0.35">
      <c r="D79" s="379"/>
      <c r="E79" s="447"/>
      <c r="F79" s="983">
        <f>F73+F77</f>
        <v>20708.968000000001</v>
      </c>
      <c r="G79" s="379"/>
      <c r="H79" s="981">
        <f>H65+H77</f>
        <v>43312.38</v>
      </c>
      <c r="I79" s="981">
        <f t="shared" ref="I79:J79" si="0">I65+I77</f>
        <v>0</v>
      </c>
      <c r="J79" s="981">
        <f t="shared" si="0"/>
        <v>0</v>
      </c>
    </row>
    <row r="80" spans="2:10" ht="15" thickTop="1" x14ac:dyDescent="0.3"/>
  </sheetData>
  <pageMargins left="0.7" right="0.7" top="0.75" bottom="0.75" header="0.3" footer="0.3"/>
  <pageSetup paperSize="9" scale="5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16"/>
  <sheetViews>
    <sheetView workbookViewId="0">
      <pane xSplit="12" ySplit="3" topLeftCell="AF4" activePane="bottomRight" state="frozen"/>
      <selection pane="topRight" activeCell="M1" sqref="M1"/>
      <selection pane="bottomLeft" activeCell="A4" sqref="A4"/>
      <selection pane="bottomRight" activeCell="C18" sqref="C18"/>
    </sheetView>
  </sheetViews>
  <sheetFormatPr defaultRowHeight="14.4" x14ac:dyDescent="0.3"/>
  <cols>
    <col min="1" max="1" width="38.44140625" bestFit="1" customWidth="1"/>
    <col min="4" max="21" width="0" hidden="1" customWidth="1"/>
  </cols>
  <sheetData>
    <row r="1" spans="1:45" x14ac:dyDescent="0.3">
      <c r="V1" t="s">
        <v>725</v>
      </c>
      <c r="X1" t="s">
        <v>726</v>
      </c>
      <c r="Z1" t="s">
        <v>727</v>
      </c>
      <c r="AB1" t="s">
        <v>728</v>
      </c>
      <c r="AD1" t="s">
        <v>729</v>
      </c>
      <c r="AF1" t="s">
        <v>730</v>
      </c>
      <c r="AH1" t="s">
        <v>731</v>
      </c>
      <c r="AJ1" t="s">
        <v>732</v>
      </c>
      <c r="AL1" t="s">
        <v>733</v>
      </c>
      <c r="AN1" t="s">
        <v>905</v>
      </c>
      <c r="AP1" t="s">
        <v>906</v>
      </c>
      <c r="AR1" s="1043" t="s">
        <v>1323</v>
      </c>
      <c r="AS1" s="1043"/>
    </row>
    <row r="2" spans="1:45" x14ac:dyDescent="0.3">
      <c r="A2" s="562" t="s">
        <v>713</v>
      </c>
      <c r="D2" t="s">
        <v>36</v>
      </c>
      <c r="F2" t="s">
        <v>734</v>
      </c>
      <c r="H2" t="s">
        <v>735</v>
      </c>
      <c r="J2" t="s">
        <v>736</v>
      </c>
      <c r="L2" t="s">
        <v>737</v>
      </c>
      <c r="N2" s="1043" t="s">
        <v>738</v>
      </c>
      <c r="O2" s="1043"/>
      <c r="P2" s="1043" t="s">
        <v>739</v>
      </c>
      <c r="Q2" s="1043"/>
      <c r="R2" t="s">
        <v>740</v>
      </c>
      <c r="T2" t="s">
        <v>741</v>
      </c>
      <c r="V2" s="1043" t="s">
        <v>742</v>
      </c>
      <c r="W2" s="1043"/>
      <c r="X2" s="1043" t="s">
        <v>743</v>
      </c>
      <c r="Y2" s="1043"/>
      <c r="Z2" s="1043" t="s">
        <v>744</v>
      </c>
      <c r="AA2" s="1043"/>
      <c r="AB2" s="1043" t="s">
        <v>745</v>
      </c>
      <c r="AC2" s="1043"/>
      <c r="AD2" s="1043" t="s">
        <v>746</v>
      </c>
      <c r="AE2" s="1043"/>
      <c r="AF2" s="1043" t="s">
        <v>747</v>
      </c>
      <c r="AG2" s="1043"/>
      <c r="AH2" s="1043" t="s">
        <v>748</v>
      </c>
      <c r="AI2" s="1043"/>
      <c r="AJ2" s="1043" t="s">
        <v>749</v>
      </c>
      <c r="AK2" s="1043"/>
      <c r="AL2" s="1043" t="s">
        <v>750</v>
      </c>
      <c r="AM2" s="1043"/>
      <c r="AN2" t="s">
        <v>907</v>
      </c>
      <c r="AP2" t="s">
        <v>750</v>
      </c>
      <c r="AR2" t="s">
        <v>1324</v>
      </c>
    </row>
    <row r="3" spans="1:45" x14ac:dyDescent="0.3">
      <c r="D3" t="s">
        <v>87</v>
      </c>
      <c r="E3" t="s">
        <v>88</v>
      </c>
      <c r="F3" t="s">
        <v>87</v>
      </c>
      <c r="G3" t="s">
        <v>88</v>
      </c>
      <c r="H3" t="s">
        <v>87</v>
      </c>
      <c r="I3" t="s">
        <v>88</v>
      </c>
      <c r="J3" t="s">
        <v>87</v>
      </c>
      <c r="K3" t="s">
        <v>88</v>
      </c>
      <c r="L3" t="s">
        <v>87</v>
      </c>
      <c r="M3" t="s">
        <v>88</v>
      </c>
      <c r="N3" t="s">
        <v>87</v>
      </c>
      <c r="O3" t="s">
        <v>88</v>
      </c>
      <c r="P3" t="s">
        <v>87</v>
      </c>
      <c r="Q3" t="s">
        <v>88</v>
      </c>
      <c r="R3" t="s">
        <v>87</v>
      </c>
      <c r="S3" t="s">
        <v>88</v>
      </c>
      <c r="T3" t="s">
        <v>87</v>
      </c>
      <c r="U3" t="s">
        <v>88</v>
      </c>
      <c r="V3" t="s">
        <v>87</v>
      </c>
      <c r="W3" t="s">
        <v>88</v>
      </c>
      <c r="X3" t="s">
        <v>87</v>
      </c>
      <c r="Y3" t="s">
        <v>88</v>
      </c>
      <c r="Z3" t="s">
        <v>87</v>
      </c>
      <c r="AA3" t="s">
        <v>88</v>
      </c>
      <c r="AB3" t="s">
        <v>87</v>
      </c>
      <c r="AC3" t="s">
        <v>88</v>
      </c>
      <c r="AD3" t="s">
        <v>87</v>
      </c>
      <c r="AE3" t="s">
        <v>88</v>
      </c>
      <c r="AF3" t="s">
        <v>87</v>
      </c>
      <c r="AG3" t="s">
        <v>88</v>
      </c>
      <c r="AH3" t="s">
        <v>87</v>
      </c>
      <c r="AI3" t="s">
        <v>88</v>
      </c>
      <c r="AJ3" t="s">
        <v>87</v>
      </c>
      <c r="AK3" t="s">
        <v>88</v>
      </c>
      <c r="AL3" t="s">
        <v>232</v>
      </c>
      <c r="AM3" t="s">
        <v>88</v>
      </c>
      <c r="AN3" t="s">
        <v>87</v>
      </c>
      <c r="AO3" t="s">
        <v>88</v>
      </c>
      <c r="AP3" t="s">
        <v>232</v>
      </c>
      <c r="AQ3" t="s">
        <v>88</v>
      </c>
      <c r="AR3" t="s">
        <v>87</v>
      </c>
      <c r="AS3" t="s">
        <v>88</v>
      </c>
    </row>
    <row r="4" spans="1:45" x14ac:dyDescent="0.3">
      <c r="A4" t="s">
        <v>751</v>
      </c>
      <c r="AC4">
        <v>20</v>
      </c>
    </row>
    <row r="6" spans="1:45" x14ac:dyDescent="0.3">
      <c r="A6" t="s">
        <v>752</v>
      </c>
    </row>
    <row r="7" spans="1:45" x14ac:dyDescent="0.3">
      <c r="A7" t="s">
        <v>713</v>
      </c>
      <c r="E7">
        <v>3878.51</v>
      </c>
      <c r="F7">
        <v>160</v>
      </c>
      <c r="I7">
        <v>370</v>
      </c>
      <c r="J7">
        <v>370</v>
      </c>
      <c r="M7">
        <v>370</v>
      </c>
      <c r="N7">
        <v>370</v>
      </c>
      <c r="Q7">
        <v>475</v>
      </c>
      <c r="R7">
        <v>475</v>
      </c>
      <c r="U7">
        <v>480</v>
      </c>
      <c r="V7">
        <v>480</v>
      </c>
      <c r="Y7">
        <v>480</v>
      </c>
      <c r="Z7">
        <v>460</v>
      </c>
      <c r="AC7">
        <v>7366.46</v>
      </c>
      <c r="AD7">
        <v>7366.46</v>
      </c>
      <c r="AG7">
        <v>8271.4599999999991</v>
      </c>
      <c r="AH7">
        <v>8271.4599999999991</v>
      </c>
      <c r="AK7">
        <v>7576.46</v>
      </c>
      <c r="AL7">
        <v>7576.46</v>
      </c>
      <c r="AO7">
        <v>7586.46</v>
      </c>
      <c r="AP7">
        <v>7586.46</v>
      </c>
    </row>
    <row r="8" spans="1:45" x14ac:dyDescent="0.3">
      <c r="A8" t="s">
        <v>753</v>
      </c>
      <c r="B8" t="s">
        <v>754</v>
      </c>
      <c r="D8">
        <v>126</v>
      </c>
    </row>
    <row r="9" spans="1:45" x14ac:dyDescent="0.3">
      <c r="A9" t="s">
        <v>753</v>
      </c>
      <c r="B9" t="s">
        <v>755</v>
      </c>
      <c r="D9">
        <v>3328.33</v>
      </c>
    </row>
    <row r="10" spans="1:45" x14ac:dyDescent="0.3">
      <c r="A10" t="s">
        <v>756</v>
      </c>
      <c r="B10" t="s">
        <v>757</v>
      </c>
      <c r="D10">
        <v>264.18</v>
      </c>
    </row>
    <row r="11" spans="1:45" x14ac:dyDescent="0.3">
      <c r="A11" t="s">
        <v>758</v>
      </c>
      <c r="D11">
        <v>160</v>
      </c>
      <c r="G11">
        <v>160</v>
      </c>
      <c r="H11">
        <v>370</v>
      </c>
      <c r="K11">
        <v>370</v>
      </c>
      <c r="L11">
        <v>370</v>
      </c>
      <c r="O11">
        <v>370</v>
      </c>
      <c r="P11">
        <v>475</v>
      </c>
      <c r="S11">
        <v>475</v>
      </c>
      <c r="T11">
        <v>480</v>
      </c>
      <c r="W11">
        <v>480</v>
      </c>
      <c r="X11">
        <v>480</v>
      </c>
      <c r="AA11">
        <v>460</v>
      </c>
      <c r="AB11">
        <v>460</v>
      </c>
      <c r="AE11">
        <v>460</v>
      </c>
      <c r="AF11">
        <v>1365</v>
      </c>
      <c r="AI11">
        <v>1365</v>
      </c>
      <c r="AJ11">
        <v>670</v>
      </c>
      <c r="AM11">
        <v>670</v>
      </c>
      <c r="AN11">
        <v>680</v>
      </c>
      <c r="AQ11">
        <v>680</v>
      </c>
      <c r="AR11">
        <v>680</v>
      </c>
    </row>
    <row r="12" spans="1:45" x14ac:dyDescent="0.3">
      <c r="A12" t="s">
        <v>759</v>
      </c>
      <c r="AB12">
        <v>4066.46</v>
      </c>
      <c r="AE12">
        <v>4066.46</v>
      </c>
      <c r="AF12">
        <v>4066.46</v>
      </c>
      <c r="AI12">
        <v>4066.46</v>
      </c>
      <c r="AJ12">
        <v>4066.46</v>
      </c>
      <c r="AM12">
        <v>4066.46</v>
      </c>
      <c r="AN12">
        <v>4066.46</v>
      </c>
      <c r="AQ12">
        <v>4066.46</v>
      </c>
      <c r="AR12">
        <v>4066.46</v>
      </c>
    </row>
    <row r="13" spans="1:45" x14ac:dyDescent="0.3">
      <c r="A13" t="s">
        <v>760</v>
      </c>
      <c r="AB13">
        <v>2840</v>
      </c>
      <c r="AE13">
        <v>2840</v>
      </c>
      <c r="AF13">
        <v>2840</v>
      </c>
      <c r="AI13">
        <v>2840</v>
      </c>
      <c r="AJ13">
        <v>2840</v>
      </c>
      <c r="AM13">
        <v>2840</v>
      </c>
      <c r="AN13">
        <v>2840</v>
      </c>
      <c r="AQ13">
        <v>2840</v>
      </c>
      <c r="AR13">
        <v>2840</v>
      </c>
    </row>
    <row r="15" spans="1:45" ht="15" thickBot="1" x14ac:dyDescent="0.35">
      <c r="D15" s="579">
        <f>SUM(D7:D11)</f>
        <v>3878.5099999999998</v>
      </c>
      <c r="E15" s="579">
        <f>SUM(E7:E11)</f>
        <v>3878.51</v>
      </c>
      <c r="F15" s="579">
        <f t="shared" ref="F15:K15" si="0">SUM(F7:F11)</f>
        <v>160</v>
      </c>
      <c r="G15" s="579">
        <f t="shared" si="0"/>
        <v>160</v>
      </c>
      <c r="H15" s="579">
        <f t="shared" si="0"/>
        <v>370</v>
      </c>
      <c r="I15" s="579">
        <f t="shared" si="0"/>
        <v>370</v>
      </c>
      <c r="J15" s="579">
        <f t="shared" si="0"/>
        <v>370</v>
      </c>
      <c r="K15" s="579">
        <f t="shared" si="0"/>
        <v>370</v>
      </c>
      <c r="L15" s="579">
        <f t="shared" ref="L15:AS15" si="1">SUM(L6:L14)</f>
        <v>370</v>
      </c>
      <c r="M15" s="579">
        <f t="shared" si="1"/>
        <v>370</v>
      </c>
      <c r="N15" s="579">
        <f t="shared" si="1"/>
        <v>370</v>
      </c>
      <c r="O15" s="579">
        <f t="shared" si="1"/>
        <v>370</v>
      </c>
      <c r="P15" s="579">
        <f t="shared" si="1"/>
        <v>475</v>
      </c>
      <c r="Q15" s="579">
        <f t="shared" si="1"/>
        <v>475</v>
      </c>
      <c r="R15" s="579">
        <f t="shared" si="1"/>
        <v>475</v>
      </c>
      <c r="S15" s="579">
        <f t="shared" si="1"/>
        <v>475</v>
      </c>
      <c r="T15" s="579">
        <f t="shared" si="1"/>
        <v>480</v>
      </c>
      <c r="U15" s="579">
        <f t="shared" si="1"/>
        <v>480</v>
      </c>
      <c r="V15" s="579">
        <f t="shared" si="1"/>
        <v>480</v>
      </c>
      <c r="W15" s="579">
        <f t="shared" si="1"/>
        <v>480</v>
      </c>
      <c r="X15" s="579">
        <f t="shared" si="1"/>
        <v>480</v>
      </c>
      <c r="Y15" s="579">
        <f t="shared" si="1"/>
        <v>480</v>
      </c>
      <c r="Z15" s="579">
        <f t="shared" si="1"/>
        <v>460</v>
      </c>
      <c r="AA15" s="579">
        <f t="shared" si="1"/>
        <v>460</v>
      </c>
      <c r="AB15" s="579">
        <f t="shared" si="1"/>
        <v>7366.46</v>
      </c>
      <c r="AC15" s="579">
        <f>SUM(AC6:AC14)</f>
        <v>7366.46</v>
      </c>
      <c r="AD15" s="579">
        <f t="shared" si="1"/>
        <v>7366.46</v>
      </c>
      <c r="AE15" s="579">
        <f t="shared" si="1"/>
        <v>7366.46</v>
      </c>
      <c r="AF15" s="579">
        <f t="shared" si="1"/>
        <v>8271.4599999999991</v>
      </c>
      <c r="AG15" s="579">
        <f t="shared" si="1"/>
        <v>8271.4599999999991</v>
      </c>
      <c r="AH15" s="579">
        <f t="shared" si="1"/>
        <v>8271.4599999999991</v>
      </c>
      <c r="AI15" s="579">
        <f t="shared" si="1"/>
        <v>8271.4599999999991</v>
      </c>
      <c r="AJ15" s="579">
        <f t="shared" si="1"/>
        <v>7576.46</v>
      </c>
      <c r="AK15" s="579">
        <f t="shared" si="1"/>
        <v>7576.46</v>
      </c>
      <c r="AL15" s="579">
        <f t="shared" si="1"/>
        <v>7576.46</v>
      </c>
      <c r="AM15" s="579">
        <f t="shared" si="1"/>
        <v>7576.46</v>
      </c>
      <c r="AN15" s="579">
        <f t="shared" si="1"/>
        <v>7586.46</v>
      </c>
      <c r="AO15" s="579">
        <f t="shared" si="1"/>
        <v>7586.46</v>
      </c>
      <c r="AP15" s="580">
        <f t="shared" si="1"/>
        <v>7586.46</v>
      </c>
      <c r="AQ15" s="580">
        <f t="shared" si="1"/>
        <v>7586.46</v>
      </c>
      <c r="AR15" s="580">
        <f t="shared" si="1"/>
        <v>7586.46</v>
      </c>
      <c r="AS15" s="580">
        <f t="shared" si="1"/>
        <v>0</v>
      </c>
    </row>
    <row r="16" spans="1:45" ht="15" thickTop="1" x14ac:dyDescent="0.3"/>
  </sheetData>
  <mergeCells count="12">
    <mergeCell ref="AR1:AS1"/>
    <mergeCell ref="AJ2:AK2"/>
    <mergeCell ref="AL2:AM2"/>
    <mergeCell ref="AH2:AI2"/>
    <mergeCell ref="N2:O2"/>
    <mergeCell ref="P2:Q2"/>
    <mergeCell ref="V2:W2"/>
    <mergeCell ref="X2:Y2"/>
    <mergeCell ref="Z2:AA2"/>
    <mergeCell ref="AB2:AC2"/>
    <mergeCell ref="AD2:AE2"/>
    <mergeCell ref="AF2:AG2"/>
  </mergeCell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16</vt:i4>
      </vt:variant>
    </vt:vector>
  </HeadingPairs>
  <TitlesOfParts>
    <vt:vector size="37" baseType="lpstr">
      <vt:lpstr>WFH Allowance</vt:lpstr>
      <vt:lpstr>Budget 2024 25</vt:lpstr>
      <vt:lpstr>Precept Form 24 25</vt:lpstr>
      <vt:lpstr>Precept workings</vt:lpstr>
      <vt:lpstr>PWLB Loan</vt:lpstr>
      <vt:lpstr>New Pavilion</vt:lpstr>
      <vt:lpstr>Grants</vt:lpstr>
      <vt:lpstr>Asset Register</vt:lpstr>
      <vt:lpstr>Accruals</vt:lpstr>
      <vt:lpstr>Payments List</vt:lpstr>
      <vt:lpstr>Budget YTD 2025 26</vt:lpstr>
      <vt:lpstr>Current Account</vt:lpstr>
      <vt:lpstr>Deposit</vt:lpstr>
      <vt:lpstr>P&amp;L</vt:lpstr>
      <vt:lpstr>Balance Sheet</vt:lpstr>
      <vt:lpstr>UT Bank</vt:lpstr>
      <vt:lpstr>Bank Rec</vt:lpstr>
      <vt:lpstr>VAT CLAIM 1</vt:lpstr>
      <vt:lpstr>New Play Equipment</vt:lpstr>
      <vt:lpstr>PWLB Accruals</vt:lpstr>
      <vt:lpstr>Reimbursement claims</vt:lpstr>
      <vt:lpstr>'Asset Register'!Print_Area</vt:lpstr>
      <vt:lpstr>'Balance Sheet'!Print_Area</vt:lpstr>
      <vt:lpstr>'Bank Rec'!Print_Area</vt:lpstr>
      <vt:lpstr>'Budget 2024 25'!Print_Area</vt:lpstr>
      <vt:lpstr>'Budget YTD 2025 26'!Print_Area</vt:lpstr>
      <vt:lpstr>Deposit!Print_Area</vt:lpstr>
      <vt:lpstr>Grants!Print_Area</vt:lpstr>
      <vt:lpstr>'P&amp;L'!Print_Area</vt:lpstr>
      <vt:lpstr>'Payments List'!Print_Area</vt:lpstr>
      <vt:lpstr>'Precept Form 24 25'!Print_Area</vt:lpstr>
      <vt:lpstr>'Precept workings'!Print_Area</vt:lpstr>
      <vt:lpstr>'Reimbursement claims'!Print_Area</vt:lpstr>
      <vt:lpstr>'UT Bank'!Print_Area</vt:lpstr>
      <vt:lpstr>'WFH Allowance'!Print_Area</vt:lpstr>
      <vt:lpstr>'Budget 2024 25'!Print_Titles</vt:lpstr>
      <vt:lpstr>'Current Account'!Print_Titles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WCPC</dc:creator>
  <cp:lastModifiedBy>Katherine Fullerton</cp:lastModifiedBy>
  <cp:lastPrinted>2026-04-17T13:06:31Z</cp:lastPrinted>
  <dcterms:created xsi:type="dcterms:W3CDTF">2019-04-03T10:48:04Z</dcterms:created>
  <dcterms:modified xsi:type="dcterms:W3CDTF">2026-05-05T14:06:48Z</dcterms:modified>
</cp:coreProperties>
</file>